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grecipe-my.sharepoint.com/personal/zth0031_conagrafoods_com/Documents/Personal/BoyScouts/_Outdoors/2019/"/>
    </mc:Choice>
  </mc:AlternateContent>
  <xr:revisionPtr revIDLastSave="0" documentId="10_ncr:100000_{0773E053-F979-4E05-8C36-026720B10667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Calendar" sheetId="1" r:id="rId1"/>
    <sheet name="Aug" sheetId="3" r:id="rId2"/>
    <sheet name="Sep" sheetId="4" r:id="rId3"/>
    <sheet name="Oct" sheetId="6" r:id="rId4"/>
    <sheet name="Nov" sheetId="8" r:id="rId5"/>
    <sheet name="Dec" sheetId="9" r:id="rId6"/>
    <sheet name="Jan" sheetId="10" r:id="rId7"/>
    <sheet name="Feb" sheetId="11" r:id="rId8"/>
    <sheet name="Mar" sheetId="12" r:id="rId9"/>
    <sheet name="Apr" sheetId="13" r:id="rId10"/>
    <sheet name="May" sheetId="14" r:id="rId11"/>
    <sheet name="Jun" sheetId="15" r:id="rId12"/>
  </sheets>
  <externalReferences>
    <externalReference r:id="rId13"/>
  </externalReferences>
  <definedNames>
    <definedName name="_xlnm.Print_Area" localSheetId="9">Apr!$A$1:$I$30</definedName>
    <definedName name="_xlnm.Print_Area" localSheetId="1">Aug!$A$1:$I$30</definedName>
    <definedName name="_xlnm.Print_Area" localSheetId="0">Calendar!$A$2:$I$13</definedName>
    <definedName name="_xlnm.Print_Area" localSheetId="5">Dec!$A$1:$I$30</definedName>
    <definedName name="_xlnm.Print_Area" localSheetId="7">Feb!$A$1:$I$30</definedName>
    <definedName name="_xlnm.Print_Area" localSheetId="6">Jan!$A$1:$I$30</definedName>
    <definedName name="_xlnm.Print_Area" localSheetId="11">Jun!$A$1:$I$30</definedName>
    <definedName name="_xlnm.Print_Area" localSheetId="8">Mar!$A$1:$I$30</definedName>
    <definedName name="_xlnm.Print_Area" localSheetId="10">May!$A$1:$I$30</definedName>
    <definedName name="_xlnm.Print_Area" localSheetId="4">Nov!$A$1:$I$30</definedName>
    <definedName name="_xlnm.Print_Area" localSheetId="3">Oct!$A$1:$I$30</definedName>
    <definedName name="_xlnm.Print_Area" localSheetId="2">Sep!$A$1:$I$30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3" l="1"/>
  <c r="B5" i="13"/>
  <c r="B17" i="14"/>
  <c r="B6" i="14"/>
  <c r="Q25" i="11" l="1"/>
  <c r="Q26" i="11"/>
  <c r="Q24" i="11"/>
  <c r="B23" i="15" l="1"/>
  <c r="A1" i="15"/>
  <c r="G25" i="15"/>
  <c r="I24" i="15"/>
  <c r="I23" i="15"/>
  <c r="I22" i="15"/>
  <c r="I21" i="15"/>
  <c r="I20" i="15"/>
  <c r="I19" i="15"/>
  <c r="I18" i="15"/>
  <c r="B8" i="15"/>
  <c r="B7" i="15"/>
  <c r="I6" i="15"/>
  <c r="J5" i="15"/>
  <c r="I10" i="15" s="1"/>
  <c r="I25" i="15" l="1"/>
  <c r="I11" i="15"/>
  <c r="I12" i="15"/>
  <c r="B14" i="15" s="1"/>
  <c r="B13" i="15"/>
  <c r="B24" i="15"/>
  <c r="B27" i="15" s="1"/>
  <c r="B26" i="15"/>
  <c r="B25" i="15"/>
  <c r="B23" i="14"/>
  <c r="B23" i="13"/>
  <c r="B23" i="12"/>
  <c r="B23" i="11"/>
  <c r="B16" i="15" l="1"/>
  <c r="B20" i="15" s="1"/>
  <c r="I30" i="15" s="1"/>
  <c r="I18" i="3"/>
  <c r="B17" i="9"/>
  <c r="M7" i="1" s="1"/>
  <c r="I28" i="15" l="1"/>
  <c r="I29" i="15" s="1"/>
  <c r="I18" i="4"/>
  <c r="A1" i="14" l="1"/>
  <c r="G25" i="14"/>
  <c r="I24" i="14"/>
  <c r="I23" i="14"/>
  <c r="B24" i="14"/>
  <c r="I22" i="14"/>
  <c r="I21" i="14"/>
  <c r="I20" i="14"/>
  <c r="I19" i="14"/>
  <c r="I18" i="14"/>
  <c r="M12" i="1"/>
  <c r="B8" i="14"/>
  <c r="B7" i="14"/>
  <c r="I6" i="14"/>
  <c r="J5" i="14"/>
  <c r="I10" i="14" s="1"/>
  <c r="A1" i="13"/>
  <c r="G25" i="13"/>
  <c r="I24" i="13"/>
  <c r="I23" i="13"/>
  <c r="B24" i="13"/>
  <c r="I22" i="13"/>
  <c r="I21" i="13"/>
  <c r="I20" i="13"/>
  <c r="I19" i="13"/>
  <c r="I18" i="13"/>
  <c r="B17" i="13"/>
  <c r="M11" i="1" s="1"/>
  <c r="B8" i="13"/>
  <c r="B7" i="13"/>
  <c r="I6" i="13"/>
  <c r="J5" i="13"/>
  <c r="I10" i="13" s="1"/>
  <c r="A1" i="12"/>
  <c r="G25" i="12"/>
  <c r="I24" i="12"/>
  <c r="I23" i="12"/>
  <c r="B24" i="12"/>
  <c r="I22" i="12"/>
  <c r="I21" i="12"/>
  <c r="I20" i="12"/>
  <c r="I19" i="12"/>
  <c r="I18" i="12"/>
  <c r="B17" i="12"/>
  <c r="M10" i="1" s="1"/>
  <c r="B8" i="12"/>
  <c r="B7" i="12"/>
  <c r="I6" i="12"/>
  <c r="J5" i="12"/>
  <c r="I10" i="12" s="1"/>
  <c r="I11" i="12" s="1"/>
  <c r="A1" i="11"/>
  <c r="G25" i="11"/>
  <c r="B24" i="11"/>
  <c r="B17" i="11"/>
  <c r="M9" i="1" s="1"/>
  <c r="B8" i="11"/>
  <c r="B7" i="11"/>
  <c r="I6" i="11"/>
  <c r="J5" i="11"/>
  <c r="I10" i="11" s="1"/>
  <c r="I25" i="14" l="1"/>
  <c r="I25" i="13"/>
  <c r="I25" i="12"/>
  <c r="B26" i="12"/>
  <c r="B25" i="12" s="1"/>
  <c r="B26" i="11"/>
  <c r="B27" i="11"/>
  <c r="B27" i="14"/>
  <c r="B26" i="14"/>
  <c r="B25" i="14" s="1"/>
  <c r="B27" i="12"/>
  <c r="B27" i="13"/>
  <c r="I11" i="14"/>
  <c r="I12" i="14"/>
  <c r="B13" i="14"/>
  <c r="I11" i="13"/>
  <c r="I12" i="13"/>
  <c r="B14" i="13" s="1"/>
  <c r="B13" i="13"/>
  <c r="B26" i="13"/>
  <c r="B25" i="13"/>
  <c r="I12" i="12"/>
  <c r="B14" i="12" s="1"/>
  <c r="B13" i="12"/>
  <c r="I11" i="11"/>
  <c r="I12" i="11"/>
  <c r="B16" i="11" s="1"/>
  <c r="B20" i="11" s="1"/>
  <c r="L9" i="1" s="1"/>
  <c r="B13" i="11"/>
  <c r="B25" i="11"/>
  <c r="B23" i="9"/>
  <c r="A1" i="9"/>
  <c r="A1" i="8"/>
  <c r="B23" i="8"/>
  <c r="B23" i="10"/>
  <c r="B24" i="10" s="1"/>
  <c r="A1" i="10"/>
  <c r="G25" i="10"/>
  <c r="I24" i="10"/>
  <c r="I23" i="10"/>
  <c r="I22" i="10"/>
  <c r="I21" i="10"/>
  <c r="I20" i="10"/>
  <c r="I19" i="10"/>
  <c r="I18" i="10"/>
  <c r="I25" i="10" s="1"/>
  <c r="B17" i="10"/>
  <c r="M8" i="1" s="1"/>
  <c r="B8" i="10"/>
  <c r="B7" i="10"/>
  <c r="I6" i="10"/>
  <c r="J5" i="10"/>
  <c r="I10" i="10" s="1"/>
  <c r="G25" i="9"/>
  <c r="I24" i="9"/>
  <c r="I23" i="9"/>
  <c r="I22" i="9"/>
  <c r="I21" i="9"/>
  <c r="I20" i="9"/>
  <c r="I19" i="9"/>
  <c r="I18" i="9"/>
  <c r="B8" i="9"/>
  <c r="B7" i="9"/>
  <c r="I6" i="9"/>
  <c r="J5" i="9"/>
  <c r="I10" i="9" s="1"/>
  <c r="G25" i="8"/>
  <c r="I24" i="8"/>
  <c r="I23" i="8"/>
  <c r="I22" i="8"/>
  <c r="I21" i="8"/>
  <c r="I20" i="8"/>
  <c r="I19" i="8"/>
  <c r="I18" i="8"/>
  <c r="B17" i="8"/>
  <c r="M6" i="1" s="1"/>
  <c r="B8" i="8"/>
  <c r="B7" i="8"/>
  <c r="I6" i="8"/>
  <c r="J5" i="8"/>
  <c r="I10" i="8" s="1"/>
  <c r="I11" i="8" s="1"/>
  <c r="I27" i="13" l="1"/>
  <c r="I25" i="8"/>
  <c r="B6" i="8" s="1"/>
  <c r="I27" i="14"/>
  <c r="B14" i="14"/>
  <c r="B16" i="14"/>
  <c r="B20" i="14" s="1"/>
  <c r="L12" i="1" s="1"/>
  <c r="B16" i="13"/>
  <c r="B20" i="13" s="1"/>
  <c r="L11" i="1" s="1"/>
  <c r="B16" i="12"/>
  <c r="B20" i="12" s="1"/>
  <c r="L10" i="1" s="1"/>
  <c r="I27" i="12"/>
  <c r="B14" i="11"/>
  <c r="I27" i="11"/>
  <c r="I30" i="11"/>
  <c r="I28" i="11"/>
  <c r="I25" i="9"/>
  <c r="B24" i="9"/>
  <c r="B27" i="9" s="1"/>
  <c r="B27" i="10"/>
  <c r="I11" i="10"/>
  <c r="I12" i="10"/>
  <c r="B16" i="10"/>
  <c r="B20" i="10" s="1"/>
  <c r="L8" i="1" s="1"/>
  <c r="B13" i="10"/>
  <c r="B26" i="10"/>
  <c r="B25" i="10" s="1"/>
  <c r="I11" i="9"/>
  <c r="I12" i="9"/>
  <c r="B13" i="9"/>
  <c r="B26" i="9"/>
  <c r="B25" i="9" s="1"/>
  <c r="I12" i="8"/>
  <c r="B14" i="8" s="1"/>
  <c r="B13" i="8"/>
  <c r="B24" i="8"/>
  <c r="B27" i="8" s="1"/>
  <c r="B26" i="8"/>
  <c r="B25" i="8" s="1"/>
  <c r="I18" i="6"/>
  <c r="G25" i="6"/>
  <c r="R8" i="6"/>
  <c r="R6" i="6"/>
  <c r="A1" i="6"/>
  <c r="I24" i="6"/>
  <c r="I23" i="6"/>
  <c r="B23" i="6"/>
  <c r="B24" i="6" s="1"/>
  <c r="I22" i="6"/>
  <c r="I21" i="6"/>
  <c r="I20" i="6"/>
  <c r="I19" i="6"/>
  <c r="B17" i="6"/>
  <c r="M5" i="1" s="1"/>
  <c r="B8" i="6"/>
  <c r="B7" i="6"/>
  <c r="I6" i="6"/>
  <c r="R7" i="6" s="1"/>
  <c r="R9" i="6" s="1"/>
  <c r="J5" i="6"/>
  <c r="I10" i="6" s="1"/>
  <c r="I29" i="11" l="1"/>
  <c r="B16" i="9"/>
  <c r="B20" i="9" s="1"/>
  <c r="B27" i="6"/>
  <c r="B26" i="6"/>
  <c r="I30" i="14"/>
  <c r="I28" i="14"/>
  <c r="I29" i="14" s="1"/>
  <c r="I30" i="13"/>
  <c r="I28" i="13"/>
  <c r="I29" i="13" s="1"/>
  <c r="I30" i="12"/>
  <c r="I28" i="12"/>
  <c r="I29" i="12" s="1"/>
  <c r="I30" i="10"/>
  <c r="I28" i="10"/>
  <c r="B14" i="10"/>
  <c r="I27" i="10"/>
  <c r="B14" i="9"/>
  <c r="I27" i="9"/>
  <c r="B16" i="8"/>
  <c r="I27" i="8"/>
  <c r="I25" i="6"/>
  <c r="B16" i="6" s="1"/>
  <c r="B20" i="6" s="1"/>
  <c r="L5" i="1" s="1"/>
  <c r="I12" i="6"/>
  <c r="B14" i="6" s="1"/>
  <c r="I11" i="6"/>
  <c r="B13" i="6"/>
  <c r="B25" i="6"/>
  <c r="B23" i="4"/>
  <c r="B24" i="4" s="1"/>
  <c r="A1" i="4"/>
  <c r="G25" i="4"/>
  <c r="I24" i="4"/>
  <c r="I23" i="4"/>
  <c r="I22" i="4"/>
  <c r="I21" i="4"/>
  <c r="I20" i="4"/>
  <c r="I19" i="4"/>
  <c r="B17" i="4"/>
  <c r="M4" i="1" s="1"/>
  <c r="B8" i="4"/>
  <c r="B7" i="4"/>
  <c r="I6" i="4"/>
  <c r="J5" i="4"/>
  <c r="I10" i="4" s="1"/>
  <c r="I11" i="4" s="1"/>
  <c r="I27" i="6" l="1"/>
  <c r="I25" i="4"/>
  <c r="B13" i="4"/>
  <c r="B20" i="8"/>
  <c r="L6" i="1" s="1"/>
  <c r="I30" i="9"/>
  <c r="L7" i="1"/>
  <c r="I28" i="9"/>
  <c r="I29" i="9" s="1"/>
  <c r="I29" i="10"/>
  <c r="I30" i="6"/>
  <c r="I28" i="6"/>
  <c r="I29" i="6" s="1"/>
  <c r="B27" i="4"/>
  <c r="I12" i="4"/>
  <c r="B14" i="4" s="1"/>
  <c r="B26" i="4"/>
  <c r="B25" i="4" s="1"/>
  <c r="A1" i="3"/>
  <c r="J5" i="3"/>
  <c r="I10" i="3" s="1"/>
  <c r="I11" i="3" s="1"/>
  <c r="I6" i="3"/>
  <c r="B7" i="3"/>
  <c r="B8" i="3"/>
  <c r="B17" i="3"/>
  <c r="M3" i="1" s="1"/>
  <c r="I19" i="3"/>
  <c r="I20" i="3"/>
  <c r="I25" i="3" s="1"/>
  <c r="I21" i="3"/>
  <c r="I22" i="3"/>
  <c r="B23" i="3"/>
  <c r="B26" i="3" s="1"/>
  <c r="B25" i="3" s="1"/>
  <c r="I23" i="3"/>
  <c r="I24" i="3"/>
  <c r="G25" i="3"/>
  <c r="I12" i="3" l="1"/>
  <c r="B14" i="3" s="1"/>
  <c r="I27" i="4"/>
  <c r="I28" i="8"/>
  <c r="I29" i="8" s="1"/>
  <c r="I30" i="8"/>
  <c r="B16" i="4"/>
  <c r="B20" i="4" s="1"/>
  <c r="B24" i="3"/>
  <c r="B27" i="3" s="1"/>
  <c r="B16" i="3"/>
  <c r="B20" i="3" s="1"/>
  <c r="L3" i="1" s="1"/>
  <c r="I27" i="3"/>
  <c r="B13" i="3"/>
  <c r="I30" i="4" l="1"/>
  <c r="L4" i="1"/>
  <c r="I28" i="3"/>
  <c r="I29" i="3" s="1"/>
  <c r="L1048576" i="1"/>
  <c r="I28" i="4"/>
  <c r="I29" i="4" s="1"/>
  <c r="I30" i="3"/>
  <c r="B13" i="1" l="1"/>
  <c r="B4" i="1"/>
  <c r="B5" i="1"/>
  <c r="B6" i="1"/>
  <c r="B7" i="1"/>
  <c r="B8" i="1"/>
  <c r="B9" i="1"/>
  <c r="B10" i="1"/>
  <c r="B11" i="1"/>
  <c r="B12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Hancock, Terry (Consumer Foods)</author>
  </authors>
  <commentList>
    <comment ref="K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* Based on Average Fuel Efficiency Ratings for Light Duty Trucks in US 1980-Present</t>
        </r>
      </text>
    </comment>
    <comment ref="H1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Hancock, Terry (Consumer Foods):</t>
        </r>
        <r>
          <rPr>
            <sz val="9"/>
            <color indexed="81"/>
            <rFont val="Tahoma"/>
            <family val="2"/>
          </rPr>
          <t xml:space="preserve">
# Participants
</t>
        </r>
      </text>
    </comment>
  </commentList>
</comments>
</file>

<file path=xl/sharedStrings.xml><?xml version="1.0" encoding="utf-8"?>
<sst xmlns="http://schemas.openxmlformats.org/spreadsheetml/2006/main" count="574" uniqueCount="119">
  <si>
    <t>Start Date</t>
  </si>
  <si>
    <t>End Date</t>
  </si>
  <si>
    <t>Coon Bluff - Webelos Overnighter</t>
  </si>
  <si>
    <t>COPE @ Heard Pueblo</t>
  </si>
  <si>
    <t>Snow Camp @ R-C</t>
  </si>
  <si>
    <t>Ski Trip @ White Mtn FUMC</t>
  </si>
  <si>
    <t>Outlaw V</t>
  </si>
  <si>
    <t>Event</t>
  </si>
  <si>
    <t>Campsite</t>
  </si>
  <si>
    <t>Camp Geronimo</t>
  </si>
  <si>
    <t>Dispersed</t>
  </si>
  <si>
    <t>URL</t>
  </si>
  <si>
    <t>Booked</t>
  </si>
  <si>
    <t>Lake Havasu</t>
  </si>
  <si>
    <t>Contact</t>
  </si>
  <si>
    <t>CC Payment Chg</t>
  </si>
  <si>
    <t>Net</t>
  </si>
  <si>
    <t>Proj Total Revenue</t>
  </si>
  <si>
    <t>Proj Total Cost</t>
  </si>
  <si>
    <t>Registration End</t>
  </si>
  <si>
    <t>Communication Date</t>
  </si>
  <si>
    <t>Total Equipment Cost</t>
  </si>
  <si>
    <t>Final Changes</t>
  </si>
  <si>
    <t>Total Cost per Person</t>
  </si>
  <si>
    <t>Propane Charge</t>
  </si>
  <si>
    <t>Total</t>
  </si>
  <si>
    <t>Days</t>
  </si>
  <si>
    <t>Cost</t>
  </si>
  <si>
    <t>Equipment Type/List</t>
  </si>
  <si>
    <t>Total per Adult Event Cost</t>
  </si>
  <si>
    <t>Equipment Calculator</t>
  </si>
  <si>
    <t>Total per Scout Event Cost</t>
  </si>
  <si>
    <t>Variable</t>
  </si>
  <si>
    <t>Gas Fee per Scout</t>
  </si>
  <si>
    <t>Event Cost per Person</t>
  </si>
  <si>
    <t>Total Fuel Cost</t>
  </si>
  <si>
    <t>Est. Fuel Cost per Tow Vehicle</t>
  </si>
  <si>
    <t>Estimated Adult Leader Attendance</t>
  </si>
  <si>
    <t>Est. Fuel Cost per Transport Vehicle</t>
  </si>
  <si>
    <t>Estimated Scout Attendance</t>
  </si>
  <si>
    <t>Avg MPG</t>
  </si>
  <si>
    <t>Fixed</t>
  </si>
  <si>
    <t>Food (Adult) - 20</t>
  </si>
  <si>
    <t>Tow Vehicles (1.5x Fuel)</t>
  </si>
  <si>
    <t>Transport Vehicles (1x Fuel)</t>
  </si>
  <si>
    <t>Equipment</t>
  </si>
  <si>
    <t>Miles (1 Way)</t>
  </si>
  <si>
    <t>Facility</t>
  </si>
  <si>
    <t>Fuel Cost</t>
  </si>
  <si>
    <t>Fuel Calculator</t>
  </si>
  <si>
    <t>Event Calculator</t>
  </si>
  <si>
    <t>Food (Scout) - 10</t>
  </si>
  <si>
    <t>https://goo.gl/maps/SgBmcDQ8e5R2</t>
  </si>
  <si>
    <t>N/A</t>
  </si>
  <si>
    <t>Lava River Cave</t>
  </si>
  <si>
    <t>Y</t>
  </si>
  <si>
    <t>One Day Adventure</t>
  </si>
  <si>
    <t>Mavericks Camporee</t>
  </si>
  <si>
    <t>602-955-7747 Ext 239 </t>
  </si>
  <si>
    <t>Geronimo</t>
  </si>
  <si>
    <t>Pirates Cove</t>
  </si>
  <si>
    <t>Outfitter</t>
  </si>
  <si>
    <t>Jerkwater Canoe</t>
  </si>
  <si>
    <t xml:space="preserve">Pirates Cove </t>
  </si>
  <si>
    <t>per person</t>
  </si>
  <si>
    <t>per vehicle</t>
  </si>
  <si>
    <t>Registration fee</t>
  </si>
  <si>
    <t>Canoe Rental</t>
  </si>
  <si>
    <t>https://goo.gl/maps/8kcCVtYcGc42</t>
  </si>
  <si>
    <t>Heard Pueblo</t>
  </si>
  <si>
    <t>Maverick Camporee</t>
  </si>
  <si>
    <t>https://goo.gl/maps/AuAWZCCdskP2</t>
  </si>
  <si>
    <t>https://goo.gl/maps/WpRbFft5hSC2</t>
  </si>
  <si>
    <t>https://goo.gl/maps/xMJzPxzXaYv</t>
  </si>
  <si>
    <t>https://goo.gl/maps/uigo5QVv4QD2</t>
  </si>
  <si>
    <t>https://goo.gl/maps/c7SVUdECJRM2</t>
  </si>
  <si>
    <t>Mileage</t>
  </si>
  <si>
    <t>R-C</t>
  </si>
  <si>
    <t>$1606.80 Credit</t>
  </si>
  <si>
    <t>No kayaks</t>
  </si>
  <si>
    <t>11GUW</t>
  </si>
  <si>
    <t>Amy Jo Haywood</t>
  </si>
  <si>
    <t>010MJSBA</t>
  </si>
  <si>
    <t>010HNV0Q</t>
  </si>
  <si>
    <t>ODA</t>
  </si>
  <si>
    <t>Show Low UMC</t>
  </si>
  <si>
    <t>Scout Cost</t>
  </si>
  <si>
    <t>Adult Cost</t>
  </si>
  <si>
    <t>Notes</t>
  </si>
  <si>
    <t>Contact #/ Confirmation</t>
  </si>
  <si>
    <t>EMC</t>
  </si>
  <si>
    <t>Outfitter Cost</t>
  </si>
  <si>
    <t>Cancelled</t>
  </si>
  <si>
    <t>Additional Food Supplies</t>
  </si>
  <si>
    <t>Moqui Water Trip</t>
  </si>
  <si>
    <t>Moqui Group</t>
  </si>
  <si>
    <t>https://goo.gl/maps/7BKXD9ivFX72</t>
  </si>
  <si>
    <t>Summer Camp - Geronimo</t>
  </si>
  <si>
    <t>Scout</t>
  </si>
  <si>
    <t>Adult Leader - $150</t>
  </si>
  <si>
    <t>Church Confirmed</t>
  </si>
  <si>
    <t>Jessica Boucher</t>
  </si>
  <si>
    <t>928.240.3608</t>
  </si>
  <si>
    <t>Confirmed</t>
  </si>
  <si>
    <t>Equipment Rental - On your own - Action Ride Shop</t>
  </si>
  <si>
    <t>No Ski</t>
  </si>
  <si>
    <t>Lift Ticket Only - Adult $74 / Scout $61</t>
  </si>
  <si>
    <t>LT &amp; Lesson - $100</t>
  </si>
  <si>
    <t>Ski Trip Only</t>
  </si>
  <si>
    <t>Scout Lift Ticket Only</t>
  </si>
  <si>
    <t>Adult Lift Ticket Only</t>
  </si>
  <si>
    <t>Lift Ticket &amp; Lesson</t>
  </si>
  <si>
    <t>Add: Must Choose One</t>
  </si>
  <si>
    <t>Dead Horse Ranch - New Scout Camp</t>
  </si>
  <si>
    <t>North Group</t>
  </si>
  <si>
    <t>https://goo.gl/maps/p5Z9g2Qpq172</t>
  </si>
  <si>
    <t>Rim Country Recreation</t>
  </si>
  <si>
    <t>928-978-9903 Michelle</t>
  </si>
  <si>
    <t>Canoe/Kayak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</si>
</sst>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_(&quot;$&quot;* #,##0_);_(&quot;$&quot;* \(#,##0\);_(&quot;$&quot;* &quot;-&quot;??_);_(@_)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Calibri"/>
      <family val="2"/>
      <scheme val="minor"/>
    </font>
    <font>
      <sz val="12"/>
      <color rgb="FF80808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3"/>
    <xf numFmtId="0" fontId="3" fillId="0" borderId="0" xfId="3" applyFont="1"/>
    <xf numFmtId="165" fontId="2" fillId="0" borderId="2" xfId="3" applyNumberFormat="1" applyBorder="1"/>
    <xf numFmtId="0" fontId="2" fillId="0" borderId="3" xfId="3" applyBorder="1" applyAlignment="1">
      <alignment horizontal="right"/>
    </xf>
    <xf numFmtId="0" fontId="2" fillId="0" borderId="4" xfId="3" applyBorder="1"/>
    <xf numFmtId="0" fontId="2" fillId="3" borderId="0" xfId="3" applyFill="1"/>
    <xf numFmtId="165" fontId="2" fillId="0" borderId="0" xfId="3" applyNumberFormat="1"/>
    <xf numFmtId="0" fontId="4" fillId="0" borderId="0" xfId="4"/>
    <xf numFmtId="44" fontId="0" fillId="0" borderId="5" xfId="5" applyFont="1" applyBorder="1"/>
    <xf numFmtId="0" fontId="2" fillId="0" borderId="6" xfId="3" applyBorder="1" applyAlignment="1">
      <alignment horizontal="right"/>
    </xf>
    <xf numFmtId="0" fontId="2" fillId="0" borderId="7" xfId="3" applyBorder="1"/>
    <xf numFmtId="0" fontId="2" fillId="0" borderId="0" xfId="3" applyFont="1"/>
    <xf numFmtId="0" fontId="2" fillId="0" borderId="0" xfId="3" applyAlignment="1">
      <alignment horizontal="right"/>
    </xf>
    <xf numFmtId="166" fontId="0" fillId="0" borderId="2" xfId="5" applyNumberFormat="1" applyFont="1" applyBorder="1"/>
    <xf numFmtId="0" fontId="2" fillId="0" borderId="8" xfId="3" applyBorder="1" applyAlignment="1">
      <alignment horizontal="right"/>
    </xf>
    <xf numFmtId="166" fontId="0" fillId="0" borderId="9" xfId="5" applyNumberFormat="1" applyFont="1" applyBorder="1"/>
    <xf numFmtId="0" fontId="2" fillId="0" borderId="10" xfId="3" applyBorder="1" applyAlignment="1">
      <alignment horizontal="right"/>
    </xf>
    <xf numFmtId="0" fontId="2" fillId="0" borderId="11" xfId="3" applyBorder="1"/>
    <xf numFmtId="14" fontId="2" fillId="0" borderId="1" xfId="3" applyNumberFormat="1" applyBorder="1"/>
    <xf numFmtId="0" fontId="2" fillId="0" borderId="1" xfId="3" applyBorder="1"/>
    <xf numFmtId="165" fontId="5" fillId="4" borderId="12" xfId="3" applyNumberFormat="1" applyFont="1" applyFill="1" applyBorder="1" applyAlignment="1">
      <alignment horizontal="center"/>
    </xf>
    <xf numFmtId="0" fontId="5" fillId="4" borderId="13" xfId="3" applyFont="1" applyFill="1" applyBorder="1" applyAlignment="1">
      <alignment horizontal="center"/>
    </xf>
    <xf numFmtId="0" fontId="5" fillId="4" borderId="14" xfId="3" applyFont="1" applyFill="1" applyBorder="1"/>
    <xf numFmtId="165" fontId="2" fillId="0" borderId="15" xfId="3" applyNumberFormat="1" applyBorder="1" applyAlignment="1">
      <alignment horizontal="center"/>
    </xf>
    <xf numFmtId="0" fontId="2" fillId="5" borderId="1" xfId="3" applyFont="1" applyFill="1" applyBorder="1" applyAlignment="1">
      <alignment horizontal="center"/>
    </xf>
    <xf numFmtId="0" fontId="2" fillId="5" borderId="16" xfId="3" applyFont="1" applyFill="1" applyBorder="1"/>
    <xf numFmtId="165" fontId="5" fillId="6" borderId="17" xfId="3" applyNumberFormat="1" applyFont="1" applyFill="1" applyBorder="1" applyAlignment="1">
      <alignment horizontal="center"/>
    </xf>
    <xf numFmtId="165" fontId="5" fillId="4" borderId="18" xfId="3" applyNumberFormat="1" applyFont="1" applyFill="1" applyBorder="1" applyAlignment="1"/>
    <xf numFmtId="6" fontId="2" fillId="0" borderId="0" xfId="3" applyNumberFormat="1"/>
    <xf numFmtId="165" fontId="2" fillId="0" borderId="19" xfId="3" applyNumberFormat="1" applyBorder="1" applyAlignment="1">
      <alignment horizontal="center"/>
    </xf>
    <xf numFmtId="0" fontId="2" fillId="5" borderId="20" xfId="3" applyFont="1" applyFill="1" applyBorder="1" applyAlignment="1">
      <alignment horizontal="center"/>
    </xf>
    <xf numFmtId="0" fontId="2" fillId="5" borderId="21" xfId="3" applyFont="1" applyFill="1" applyBorder="1"/>
    <xf numFmtId="0" fontId="6" fillId="7" borderId="12" xfId="3" applyFont="1" applyFill="1" applyBorder="1" applyAlignment="1">
      <alignment horizontal="center"/>
    </xf>
    <xf numFmtId="0" fontId="6" fillId="7" borderId="13" xfId="3" applyFont="1" applyFill="1" applyBorder="1" applyAlignment="1">
      <alignment horizontal="center"/>
    </xf>
    <xf numFmtId="0" fontId="6" fillId="7" borderId="14" xfId="3" applyFont="1" applyFill="1" applyBorder="1"/>
    <xf numFmtId="165" fontId="2" fillId="0" borderId="17" xfId="3" applyNumberFormat="1" applyBorder="1" applyAlignment="1">
      <alignment horizontal="center"/>
    </xf>
    <xf numFmtId="0" fontId="2" fillId="0" borderId="18" xfId="3" applyFont="1" applyBorder="1"/>
    <xf numFmtId="0" fontId="7" fillId="8" borderId="22" xfId="3" applyFont="1" applyFill="1" applyBorder="1" applyAlignment="1">
      <alignment horizontal="centerContinuous"/>
    </xf>
    <xf numFmtId="0" fontId="7" fillId="8" borderId="10" xfId="3" applyFont="1" applyFill="1" applyBorder="1" applyAlignment="1">
      <alignment horizontal="centerContinuous"/>
    </xf>
    <xf numFmtId="0" fontId="7" fillId="8" borderId="11" xfId="3" applyFont="1" applyFill="1" applyBorder="1" applyAlignment="1">
      <alignment horizontal="centerContinuous"/>
    </xf>
    <xf numFmtId="0" fontId="2" fillId="0" borderId="0" xfId="3" applyAlignment="1">
      <alignment horizontal="center"/>
    </xf>
    <xf numFmtId="165" fontId="2" fillId="0" borderId="12" xfId="3" applyNumberFormat="1" applyBorder="1" applyAlignment="1">
      <alignment horizontal="center"/>
    </xf>
    <xf numFmtId="0" fontId="2" fillId="0" borderId="14" xfId="3" applyFont="1" applyBorder="1"/>
    <xf numFmtId="165" fontId="2" fillId="0" borderId="23" xfId="3" applyNumberFormat="1" applyBorder="1" applyAlignment="1">
      <alignment horizontal="center"/>
    </xf>
    <xf numFmtId="0" fontId="2" fillId="0" borderId="24" xfId="3" applyFont="1" applyBorder="1"/>
    <xf numFmtId="0" fontId="5" fillId="4" borderId="13" xfId="3" applyFont="1" applyFill="1" applyBorder="1"/>
    <xf numFmtId="0" fontId="2" fillId="0" borderId="1" xfId="3" applyFont="1" applyBorder="1"/>
    <xf numFmtId="0" fontId="2" fillId="0" borderId="16" xfId="3" applyFont="1" applyBorder="1"/>
    <xf numFmtId="0" fontId="2" fillId="5" borderId="12" xfId="3" applyFill="1" applyBorder="1" applyAlignment="1">
      <alignment horizontal="center"/>
    </xf>
    <xf numFmtId="0" fontId="2" fillId="0" borderId="14" xfId="3" applyBorder="1"/>
    <xf numFmtId="0" fontId="2" fillId="0" borderId="25" xfId="3" applyFont="1" applyBorder="1"/>
    <xf numFmtId="0" fontId="2" fillId="5" borderId="23" xfId="3" applyFill="1" applyBorder="1" applyAlignment="1">
      <alignment horizontal="center"/>
    </xf>
    <xf numFmtId="0" fontId="2" fillId="0" borderId="24" xfId="3" applyBorder="1"/>
    <xf numFmtId="0" fontId="2" fillId="0" borderId="12" xfId="3" applyBorder="1" applyAlignment="1">
      <alignment horizontal="center"/>
    </xf>
    <xf numFmtId="0" fontId="2" fillId="0" borderId="13" xfId="3" applyBorder="1"/>
    <xf numFmtId="167" fontId="0" fillId="0" borderId="12" xfId="5" applyNumberFormat="1" applyFont="1" applyBorder="1" applyAlignment="1">
      <alignment horizontal="center"/>
    </xf>
    <xf numFmtId="0" fontId="2" fillId="5" borderId="15" xfId="3" applyFill="1" applyBorder="1" applyAlignment="1">
      <alignment horizontal="center"/>
    </xf>
    <xf numFmtId="167" fontId="0" fillId="0" borderId="15" xfId="5" applyNumberFormat="1" applyFont="1" applyBorder="1" applyAlignment="1">
      <alignment horizontal="center"/>
    </xf>
    <xf numFmtId="0" fontId="2" fillId="0" borderId="15" xfId="3" applyFill="1" applyBorder="1" applyAlignment="1">
      <alignment horizontal="center"/>
    </xf>
    <xf numFmtId="167" fontId="0" fillId="5" borderId="15" xfId="5" applyNumberFormat="1" applyFont="1" applyFill="1" applyBorder="1" applyAlignment="1">
      <alignment horizontal="center"/>
    </xf>
    <xf numFmtId="0" fontId="2" fillId="0" borderId="16" xfId="3" applyBorder="1"/>
    <xf numFmtId="165" fontId="2" fillId="5" borderId="19" xfId="3" applyNumberFormat="1" applyFill="1" applyBorder="1" applyAlignment="1">
      <alignment horizontal="center"/>
    </xf>
    <xf numFmtId="0" fontId="2" fillId="0" borderId="20" xfId="3" applyBorder="1"/>
    <xf numFmtId="0" fontId="2" fillId="0" borderId="21" xfId="3" applyBorder="1"/>
    <xf numFmtId="0" fontId="2" fillId="0" borderId="15" xfId="3" applyFont="1" applyBorder="1" applyAlignment="1">
      <alignment horizontal="center"/>
    </xf>
    <xf numFmtId="0" fontId="7" fillId="8" borderId="3" xfId="3" applyFont="1" applyFill="1" applyBorder="1" applyAlignment="1">
      <alignment horizontal="centerContinuous"/>
    </xf>
    <xf numFmtId="0" fontId="7" fillId="8" borderId="8" xfId="3" applyFont="1" applyFill="1" applyBorder="1" applyAlignment="1">
      <alignment horizontal="centerContinuous"/>
    </xf>
    <xf numFmtId="0" fontId="7" fillId="8" borderId="4" xfId="3" applyFont="1" applyFill="1" applyBorder="1" applyAlignment="1">
      <alignment horizontal="centerContinuous"/>
    </xf>
    <xf numFmtId="0" fontId="8" fillId="5" borderId="3" xfId="3" applyFont="1" applyFill="1" applyBorder="1" applyAlignment="1">
      <alignment horizontal="centerContinuous"/>
    </xf>
    <xf numFmtId="0" fontId="8" fillId="5" borderId="8" xfId="3" applyFont="1" applyFill="1" applyBorder="1" applyAlignment="1">
      <alignment horizontal="centerContinuous"/>
    </xf>
    <xf numFmtId="0" fontId="9" fillId="5" borderId="8" xfId="3" applyFont="1" applyFill="1" applyBorder="1" applyAlignment="1">
      <alignment horizontal="centerContinuous"/>
    </xf>
    <xf numFmtId="0" fontId="8" fillId="5" borderId="4" xfId="3" applyFont="1" applyFill="1" applyBorder="1" applyAlignment="1">
      <alignment horizontal="centerContinuous"/>
    </xf>
    <xf numFmtId="0" fontId="2" fillId="0" borderId="10" xfId="3" applyBorder="1"/>
    <xf numFmtId="6" fontId="2" fillId="0" borderId="10" xfId="3" applyNumberFormat="1" applyBorder="1"/>
    <xf numFmtId="6" fontId="2" fillId="0" borderId="22" xfId="3" applyNumberFormat="1" applyBorder="1"/>
    <xf numFmtId="0" fontId="2" fillId="0" borderId="26" xfId="3" applyBorder="1"/>
    <xf numFmtId="0" fontId="2" fillId="0" borderId="0" xfId="3" applyBorder="1"/>
    <xf numFmtId="6" fontId="2" fillId="0" borderId="0" xfId="3" applyNumberFormat="1" applyBorder="1"/>
    <xf numFmtId="6" fontId="2" fillId="0" borderId="27" xfId="3" applyNumberFormat="1" applyBorder="1"/>
    <xf numFmtId="6" fontId="2" fillId="8" borderId="27" xfId="3" applyNumberFormat="1" applyFill="1" applyBorder="1"/>
    <xf numFmtId="0" fontId="2" fillId="0" borderId="6" xfId="3" applyBorder="1"/>
    <xf numFmtId="0" fontId="2" fillId="0" borderId="28" xfId="3" applyBorder="1"/>
    <xf numFmtId="6" fontId="2" fillId="0" borderId="0" xfId="3" applyNumberFormat="1" applyFill="1" applyBorder="1"/>
    <xf numFmtId="167" fontId="12" fillId="5" borderId="15" xfId="5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indent="1"/>
    </xf>
    <xf numFmtId="164" fontId="15" fillId="0" borderId="1" xfId="0" applyNumberFormat="1" applyFont="1" applyBorder="1" applyAlignment="1">
      <alignment horizontal="left" indent="1"/>
    </xf>
    <xf numFmtId="43" fontId="15" fillId="0" borderId="1" xfId="1" applyFont="1" applyBorder="1" applyAlignment="1"/>
    <xf numFmtId="44" fontId="15" fillId="0" borderId="1" xfId="2" applyFont="1" applyBorder="1" applyAlignment="1">
      <alignment horizontal="left" indent="1"/>
    </xf>
    <xf numFmtId="43" fontId="16" fillId="0" borderId="1" xfId="4" applyNumberFormat="1" applyFont="1" applyBorder="1" applyAlignment="1">
      <alignment horizontal="left" indent="1"/>
    </xf>
    <xf numFmtId="43" fontId="15" fillId="0" borderId="1" xfId="1" applyFont="1" applyBorder="1" applyAlignment="1">
      <alignment horizontal="center"/>
    </xf>
    <xf numFmtId="37" fontId="15" fillId="0" borderId="1" xfId="1" applyNumberFormat="1" applyFont="1" applyBorder="1" applyAlignment="1">
      <alignment horizontal="center"/>
    </xf>
    <xf numFmtId="7" fontId="15" fillId="0" borderId="1" xfId="1" applyNumberFormat="1" applyFont="1" applyBorder="1" applyAlignment="1">
      <alignment horizontal="center"/>
    </xf>
    <xf numFmtId="0" fontId="17" fillId="0" borderId="0" xfId="0" applyFont="1"/>
    <xf numFmtId="164" fontId="15" fillId="0" borderId="1" xfId="0" applyNumberFormat="1" applyFont="1" applyBorder="1" applyAlignment="1">
      <alignment horizontal="center"/>
    </xf>
    <xf numFmtId="0" fontId="18" fillId="0" borderId="1" xfId="0" applyFont="1" applyBorder="1"/>
    <xf numFmtId="43" fontId="19" fillId="0" borderId="1" xfId="1" applyFont="1" applyBorder="1" applyAlignment="1">
      <alignment horizontal="center"/>
    </xf>
    <xf numFmtId="14" fontId="15" fillId="0" borderId="1" xfId="1" applyNumberFormat="1" applyFont="1" applyBorder="1" applyAlignment="1">
      <alignment horizontal="center"/>
    </xf>
    <xf numFmtId="0" fontId="15" fillId="0" borderId="0" xfId="0" applyFont="1"/>
    <xf numFmtId="14" fontId="15" fillId="0" borderId="0" xfId="0" applyNumberFormat="1" applyFont="1"/>
    <xf numFmtId="43" fontId="15" fillId="0" borderId="0" xfId="1" applyFont="1"/>
    <xf numFmtId="43" fontId="4" fillId="0" borderId="1" xfId="4" applyNumberFormat="1" applyBorder="1" applyAlignment="1">
      <alignment horizontal="left" indent="1"/>
    </xf>
    <xf numFmtId="166" fontId="2" fillId="0" borderId="0" xfId="2" applyNumberFormat="1" applyFont="1"/>
    <xf numFmtId="0" fontId="2" fillId="0" borderId="8" xfId="3" applyBorder="1"/>
    <xf numFmtId="0" fontId="2" fillId="0" borderId="2" xfId="3" applyBorder="1"/>
    <xf numFmtId="166" fontId="2" fillId="0" borderId="9" xfId="2" applyNumberFormat="1" applyFont="1" applyBorder="1"/>
    <xf numFmtId="166" fontId="2" fillId="0" borderId="5" xfId="2" applyNumberFormat="1" applyFont="1" applyBorder="1"/>
    <xf numFmtId="166" fontId="2" fillId="0" borderId="2" xfId="2" applyNumberFormat="1" applyFont="1" applyBorder="1"/>
    <xf numFmtId="166" fontId="2" fillId="0" borderId="9" xfId="3" applyNumberFormat="1" applyBorder="1"/>
    <xf numFmtId="166" fontId="2" fillId="0" borderId="5" xfId="3" applyNumberFormat="1" applyBorder="1"/>
    <xf numFmtId="166" fontId="2" fillId="0" borderId="2" xfId="3" applyNumberFormat="1" applyBorder="1"/>
    <xf numFmtId="0" fontId="2" fillId="0" borderId="0" xfId="3" applyFill="1" applyBorder="1"/>
    <xf numFmtId="6" fontId="3" fillId="0" borderId="0" xfId="3" applyNumberFormat="1" applyFont="1"/>
    <xf numFmtId="0" fontId="2" fillId="0" borderId="9" xfId="3" applyBorder="1" applyAlignment="1">
      <alignment horizontal="center" wrapText="1"/>
    </xf>
    <xf numFmtId="0" fontId="2" fillId="0" borderId="29" xfId="3" applyBorder="1" applyAlignment="1">
      <alignment horizontal="center" wrapText="1"/>
    </xf>
    <xf numFmtId="0" fontId="2" fillId="0" borderId="5" xfId="3" applyBorder="1" applyAlignment="1">
      <alignment horizontal="center" wrapText="1"/>
    </xf>
  </cellXfs>
  <cellStyles count="6">
    <cellStyle name="Comma" xfId="1" builtinId="3"/>
    <cellStyle name="Currency" xfId="2" builtinId="4"/>
    <cellStyle name="Currency 2" xfId="5" xr:uid="{00000000-0005-0000-0000-000002000000}"/>
    <cellStyle name="Hyperlink" xfId="4" builtinId="8"/>
    <cellStyle name="Normal" xfId="0" builtinId="0"/>
    <cellStyle name="Normal 2" xfId="3" xr:uid="{00000000-0005-0000-0000-000005000000}"/>
  </cellStyles>
  <dxfs count="22"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1</xdr:row>
      <xdr:rowOff>66675</xdr:rowOff>
    </xdr:from>
    <xdr:to>
      <xdr:col>17</xdr:col>
      <xdr:colOff>209550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F78B27-9A18-4A9A-A048-EAF329008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457200"/>
          <a:ext cx="2695575" cy="266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tings%20Price%20Calculator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9 Calendar"/>
      <sheetName val="Recap"/>
      <sheetName val="Group Sites"/>
      <sheetName val="Planning Calendar"/>
      <sheetName val="CUSD"/>
      <sheetName val="GUSD"/>
      <sheetName val="MUSD"/>
      <sheetName val="Holidays"/>
      <sheetName val="ScoutCampsbyState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0">
        <row r="2">
          <cell r="B2">
            <v>42965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p5Z9g2Qpq172" TargetMode="External"/><Relationship Id="rId3" Type="http://schemas.openxmlformats.org/officeDocument/2006/relationships/hyperlink" Target="https://goo.gl/maps/AuAWZCCdskP2" TargetMode="External"/><Relationship Id="rId7" Type="http://schemas.openxmlformats.org/officeDocument/2006/relationships/hyperlink" Target="https://goo.gl/maps/WpRbFft5hSC2" TargetMode="External"/><Relationship Id="rId2" Type="http://schemas.openxmlformats.org/officeDocument/2006/relationships/hyperlink" Target="https://goo.gl/maps/8kcCVtYcGc42" TargetMode="External"/><Relationship Id="rId1" Type="http://schemas.openxmlformats.org/officeDocument/2006/relationships/hyperlink" Target="https://goo.gl/maps/SgBmcDQ8e5R2" TargetMode="External"/><Relationship Id="rId6" Type="http://schemas.openxmlformats.org/officeDocument/2006/relationships/hyperlink" Target="https://goo.gl/maps/c7SVUdECJRM2" TargetMode="External"/><Relationship Id="rId5" Type="http://schemas.openxmlformats.org/officeDocument/2006/relationships/hyperlink" Target="https://goo.gl/maps/uigo5QVv4QD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goo.gl/maps/xMJzPxzXaYv" TargetMode="External"/><Relationship Id="rId9" Type="http://schemas.openxmlformats.org/officeDocument/2006/relationships/hyperlink" Target="https://goo.gl/maps/7BKXD9ivFX72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48576"/>
  <sheetViews>
    <sheetView showGridLines="0" tabSelected="1" zoomScale="90" zoomScaleNormal="90" workbookViewId="0">
      <selection activeCell="G26" sqref="G26"/>
    </sheetView>
  </sheetViews>
  <sheetFormatPr defaultRowHeight="15.75" x14ac:dyDescent="0.25"/>
  <cols>
    <col min="1" max="1" width="11.140625" style="102" customWidth="1"/>
    <col min="2" max="2" width="11.7109375" style="102" customWidth="1"/>
    <col min="3" max="3" width="34.42578125" style="102" bestFit="1" customWidth="1"/>
    <col min="4" max="4" width="17.5703125" style="102" bestFit="1" customWidth="1"/>
    <col min="5" max="5" width="21.85546875" style="104" bestFit="1" customWidth="1"/>
    <col min="6" max="6" width="14.140625" style="104" bestFit="1" customWidth="1"/>
    <col min="7" max="7" width="37.5703125" style="104" bestFit="1" customWidth="1"/>
    <col min="8" max="8" width="12.7109375" style="104" bestFit="1" customWidth="1"/>
    <col min="9" max="9" width="12.7109375" style="104" customWidth="1"/>
    <col min="10" max="10" width="24.7109375" style="104" bestFit="1" customWidth="1"/>
    <col min="11" max="11" width="13.42578125" style="104" bestFit="1" customWidth="1"/>
    <col min="12" max="12" width="11.85546875" style="104" customWidth="1"/>
    <col min="13" max="13" width="12.42578125" style="104" customWidth="1"/>
    <col min="14" max="14" width="17.7109375" style="104" bestFit="1" customWidth="1"/>
    <col min="15" max="15" width="24.42578125" style="104" bestFit="1" customWidth="1"/>
    <col min="16" max="16384" width="9.140625" style="102"/>
  </cols>
  <sheetData>
    <row r="2" spans="1:18" s="87" customFormat="1" ht="42" x14ac:dyDescent="0.35">
      <c r="A2" s="85" t="s">
        <v>0</v>
      </c>
      <c r="B2" s="85" t="s">
        <v>1</v>
      </c>
      <c r="C2" s="85" t="s">
        <v>7</v>
      </c>
      <c r="D2" s="85" t="s">
        <v>14</v>
      </c>
      <c r="E2" s="86" t="s">
        <v>8</v>
      </c>
      <c r="F2" s="86" t="s">
        <v>27</v>
      </c>
      <c r="G2" s="86" t="s">
        <v>11</v>
      </c>
      <c r="H2" s="86" t="s">
        <v>12</v>
      </c>
      <c r="I2" s="86" t="s">
        <v>76</v>
      </c>
      <c r="J2" s="86" t="s">
        <v>61</v>
      </c>
      <c r="K2" s="86" t="s">
        <v>91</v>
      </c>
      <c r="L2" s="86" t="s">
        <v>86</v>
      </c>
      <c r="M2" s="86" t="s">
        <v>87</v>
      </c>
      <c r="N2" s="86" t="s">
        <v>88</v>
      </c>
      <c r="O2" s="86" t="s">
        <v>89</v>
      </c>
    </row>
    <row r="3" spans="1:18" s="97" customFormat="1" ht="26.25" customHeight="1" x14ac:dyDescent="0.35">
      <c r="A3" s="88">
        <v>43329</v>
      </c>
      <c r="B3" s="88">
        <f>A3+2</f>
        <v>43331</v>
      </c>
      <c r="C3" s="89" t="s">
        <v>54</v>
      </c>
      <c r="D3" s="90"/>
      <c r="E3" s="91" t="s">
        <v>10</v>
      </c>
      <c r="F3" s="92">
        <v>0</v>
      </c>
      <c r="G3" s="93" t="s">
        <v>52</v>
      </c>
      <c r="H3" s="94" t="s">
        <v>53</v>
      </c>
      <c r="I3" s="95">
        <v>186</v>
      </c>
      <c r="J3" s="94"/>
      <c r="K3" s="94"/>
      <c r="L3" s="96">
        <f>Aug!$B$20</f>
        <v>31</v>
      </c>
      <c r="M3" s="96">
        <f>Aug!$B$17</f>
        <v>20</v>
      </c>
      <c r="N3" s="94"/>
      <c r="O3" s="94"/>
    </row>
    <row r="4" spans="1:18" s="97" customFormat="1" ht="26.25" customHeight="1" x14ac:dyDescent="0.35">
      <c r="A4" s="88">
        <v>43364</v>
      </c>
      <c r="B4" s="88">
        <f t="shared" ref="B4:B12" si="0">A4+2</f>
        <v>43366</v>
      </c>
      <c r="C4" s="89" t="s">
        <v>57</v>
      </c>
      <c r="D4" s="98" t="s">
        <v>81</v>
      </c>
      <c r="E4" s="91" t="s">
        <v>59</v>
      </c>
      <c r="F4" s="92">
        <v>600</v>
      </c>
      <c r="G4" s="93" t="s">
        <v>72</v>
      </c>
      <c r="H4" s="94" t="s">
        <v>55</v>
      </c>
      <c r="I4" s="95">
        <v>98</v>
      </c>
      <c r="J4" s="94"/>
      <c r="K4" s="94"/>
      <c r="L4" s="96">
        <f>Sep!$B$20</f>
        <v>32</v>
      </c>
      <c r="M4" s="96">
        <f>Sep!$B$17</f>
        <v>32</v>
      </c>
      <c r="N4" s="94"/>
      <c r="O4" s="99" t="s">
        <v>58</v>
      </c>
    </row>
    <row r="5" spans="1:18" s="97" customFormat="1" ht="26.25" customHeight="1" x14ac:dyDescent="0.35">
      <c r="A5" s="88">
        <v>43379</v>
      </c>
      <c r="B5" s="88">
        <f t="shared" si="0"/>
        <v>43381</v>
      </c>
      <c r="C5" s="89" t="s">
        <v>13</v>
      </c>
      <c r="D5" s="90"/>
      <c r="E5" s="91" t="s">
        <v>60</v>
      </c>
      <c r="F5" s="92"/>
      <c r="G5" s="93" t="s">
        <v>68</v>
      </c>
      <c r="H5" s="94" t="s">
        <v>55</v>
      </c>
      <c r="I5" s="95">
        <v>244</v>
      </c>
      <c r="J5" s="94" t="s">
        <v>62</v>
      </c>
      <c r="K5" s="94"/>
      <c r="L5" s="96">
        <f>Oct!$B$20</f>
        <v>88</v>
      </c>
      <c r="M5" s="96">
        <f>Oct!$B$17</f>
        <v>67</v>
      </c>
      <c r="N5" s="100" t="s">
        <v>78</v>
      </c>
      <c r="O5" s="94" t="s">
        <v>79</v>
      </c>
    </row>
    <row r="6" spans="1:18" s="97" customFormat="1" ht="26.25" customHeight="1" x14ac:dyDescent="0.35">
      <c r="A6" s="88">
        <v>43413</v>
      </c>
      <c r="B6" s="88">
        <f t="shared" si="0"/>
        <v>43415</v>
      </c>
      <c r="C6" s="89" t="s">
        <v>2</v>
      </c>
      <c r="D6" s="90"/>
      <c r="E6" s="91" t="s">
        <v>10</v>
      </c>
      <c r="F6" s="92">
        <v>0</v>
      </c>
      <c r="G6" s="93" t="s">
        <v>73</v>
      </c>
      <c r="H6" s="94" t="s">
        <v>53</v>
      </c>
      <c r="I6" s="95">
        <v>27</v>
      </c>
      <c r="J6" s="94"/>
      <c r="K6" s="94"/>
      <c r="L6" s="96">
        <f>Nov!$B$20</f>
        <v>22</v>
      </c>
      <c r="M6" s="96">
        <f>Nov!$B$17</f>
        <v>28</v>
      </c>
      <c r="N6" s="94"/>
      <c r="O6" s="94"/>
    </row>
    <row r="7" spans="1:18" s="97" customFormat="1" ht="26.25" customHeight="1" x14ac:dyDescent="0.35">
      <c r="A7" s="88">
        <v>43441</v>
      </c>
      <c r="B7" s="88">
        <f t="shared" si="0"/>
        <v>43443</v>
      </c>
      <c r="C7" s="89" t="s">
        <v>3</v>
      </c>
      <c r="D7" s="98" t="s">
        <v>81</v>
      </c>
      <c r="E7" s="91" t="s">
        <v>69</v>
      </c>
      <c r="F7" s="92">
        <v>390</v>
      </c>
      <c r="G7" s="93" t="s">
        <v>74</v>
      </c>
      <c r="H7" s="94" t="s">
        <v>55</v>
      </c>
      <c r="I7" s="95">
        <v>21</v>
      </c>
      <c r="J7" s="94" t="s">
        <v>56</v>
      </c>
      <c r="K7" s="96">
        <v>250</v>
      </c>
      <c r="L7" s="96">
        <f>Dec!$B$20</f>
        <v>52</v>
      </c>
      <c r="M7" s="96">
        <f>Dec!$B$17</f>
        <v>20</v>
      </c>
      <c r="N7" s="101">
        <v>43341</v>
      </c>
      <c r="O7" s="94" t="s">
        <v>82</v>
      </c>
    </row>
    <row r="8" spans="1:18" s="97" customFormat="1" ht="26.25" customHeight="1" x14ac:dyDescent="0.35">
      <c r="A8" s="88">
        <v>43483</v>
      </c>
      <c r="B8" s="88">
        <f t="shared" si="0"/>
        <v>43485</v>
      </c>
      <c r="C8" s="89" t="s">
        <v>4</v>
      </c>
      <c r="D8" s="98" t="s">
        <v>81</v>
      </c>
      <c r="E8" s="91" t="s">
        <v>77</v>
      </c>
      <c r="F8" s="92">
        <v>600</v>
      </c>
      <c r="G8" s="93" t="s">
        <v>71</v>
      </c>
      <c r="H8" s="94" t="s">
        <v>55</v>
      </c>
      <c r="I8" s="95">
        <v>100</v>
      </c>
      <c r="J8" s="94"/>
      <c r="K8" s="94"/>
      <c r="L8" s="96">
        <f>Jan!$B$20</f>
        <v>35</v>
      </c>
      <c r="M8" s="96">
        <f>Jan!$B$17</f>
        <v>20</v>
      </c>
      <c r="N8" s="94"/>
      <c r="O8" s="94" t="s">
        <v>83</v>
      </c>
      <c r="Q8" s="94" t="s">
        <v>80</v>
      </c>
      <c r="R8" s="97" t="s">
        <v>92</v>
      </c>
    </row>
    <row r="9" spans="1:18" s="97" customFormat="1" ht="26.25" customHeight="1" x14ac:dyDescent="0.35">
      <c r="A9" s="88">
        <v>43504</v>
      </c>
      <c r="B9" s="88">
        <f t="shared" si="0"/>
        <v>43506</v>
      </c>
      <c r="C9" s="89" t="s">
        <v>5</v>
      </c>
      <c r="D9" s="90" t="s">
        <v>101</v>
      </c>
      <c r="E9" s="91" t="s">
        <v>85</v>
      </c>
      <c r="F9" s="92">
        <v>300</v>
      </c>
      <c r="G9" s="93" t="s">
        <v>75</v>
      </c>
      <c r="H9" s="94" t="s">
        <v>55</v>
      </c>
      <c r="I9" s="95">
        <v>157</v>
      </c>
      <c r="J9" s="94"/>
      <c r="K9" s="94"/>
      <c r="L9" s="96">
        <f>Feb!$B$20</f>
        <v>33</v>
      </c>
      <c r="M9" s="96">
        <f>Feb!$B$17</f>
        <v>20</v>
      </c>
      <c r="N9" s="94" t="s">
        <v>100</v>
      </c>
      <c r="O9" s="94" t="s">
        <v>102</v>
      </c>
    </row>
    <row r="10" spans="1:18" s="97" customFormat="1" ht="26.25" customHeight="1" x14ac:dyDescent="0.35">
      <c r="A10" s="88">
        <v>43532</v>
      </c>
      <c r="B10" s="88">
        <f t="shared" si="0"/>
        <v>43534</v>
      </c>
      <c r="C10" s="89" t="s">
        <v>113</v>
      </c>
      <c r="D10" s="90"/>
      <c r="E10" s="91" t="s">
        <v>114</v>
      </c>
      <c r="F10" s="92">
        <v>550</v>
      </c>
      <c r="G10" s="105" t="s">
        <v>115</v>
      </c>
      <c r="H10" s="94" t="s">
        <v>55</v>
      </c>
      <c r="I10" s="95">
        <v>136</v>
      </c>
      <c r="J10" s="94"/>
      <c r="K10" s="94"/>
      <c r="L10" s="96">
        <f>Mar!$B$20</f>
        <v>28</v>
      </c>
      <c r="M10" s="96">
        <f>Mar!$B$17</f>
        <v>20</v>
      </c>
      <c r="N10" s="94"/>
      <c r="O10" s="94" t="s">
        <v>103</v>
      </c>
      <c r="Q10" s="102"/>
    </row>
    <row r="11" spans="1:18" s="97" customFormat="1" ht="26.25" customHeight="1" x14ac:dyDescent="0.35">
      <c r="A11" s="88">
        <v>43567</v>
      </c>
      <c r="B11" s="88">
        <f t="shared" si="0"/>
        <v>43569</v>
      </c>
      <c r="C11" s="89" t="s">
        <v>6</v>
      </c>
      <c r="D11" s="98" t="s">
        <v>81</v>
      </c>
      <c r="E11" s="91" t="s">
        <v>9</v>
      </c>
      <c r="F11" s="92">
        <v>0</v>
      </c>
      <c r="G11" s="105" t="s">
        <v>72</v>
      </c>
      <c r="H11" s="94" t="s">
        <v>55</v>
      </c>
      <c r="I11" s="95">
        <v>98</v>
      </c>
      <c r="J11" s="94"/>
      <c r="K11" s="94"/>
      <c r="L11" s="96">
        <f>Apr!$B$20</f>
        <v>29</v>
      </c>
      <c r="M11" s="96">
        <f>Apr!$B$17</f>
        <v>20</v>
      </c>
      <c r="N11" s="94"/>
      <c r="O11" s="94" t="s">
        <v>103</v>
      </c>
    </row>
    <row r="12" spans="1:18" s="97" customFormat="1" ht="26.25" customHeight="1" x14ac:dyDescent="0.35">
      <c r="A12" s="88">
        <v>43588</v>
      </c>
      <c r="B12" s="88">
        <f t="shared" si="0"/>
        <v>43590</v>
      </c>
      <c r="C12" s="89" t="s">
        <v>94</v>
      </c>
      <c r="D12" s="90"/>
      <c r="E12" s="91" t="s">
        <v>95</v>
      </c>
      <c r="F12" s="92">
        <v>200</v>
      </c>
      <c r="G12" s="105" t="s">
        <v>96</v>
      </c>
      <c r="H12" s="94" t="s">
        <v>55</v>
      </c>
      <c r="I12" s="95">
        <v>127</v>
      </c>
      <c r="J12" s="94" t="s">
        <v>116</v>
      </c>
      <c r="K12" s="94"/>
      <c r="L12" s="96">
        <f>May!$B$20</f>
        <v>48</v>
      </c>
      <c r="M12" s="96">
        <f>May!$B$17</f>
        <v>20</v>
      </c>
      <c r="N12" s="94"/>
      <c r="O12" s="94" t="s">
        <v>117</v>
      </c>
    </row>
    <row r="13" spans="1:18" s="97" customFormat="1" ht="26.25" customHeight="1" x14ac:dyDescent="0.35">
      <c r="A13" s="88">
        <v>43639</v>
      </c>
      <c r="B13" s="88">
        <f>A13+6</f>
        <v>43645</v>
      </c>
      <c r="C13" s="89" t="s">
        <v>97</v>
      </c>
      <c r="D13" s="98" t="s">
        <v>81</v>
      </c>
      <c r="E13" s="91" t="s">
        <v>9</v>
      </c>
      <c r="F13" s="92">
        <v>16000</v>
      </c>
      <c r="G13" s="93" t="s">
        <v>72</v>
      </c>
      <c r="H13" s="94" t="s">
        <v>55</v>
      </c>
      <c r="I13" s="95">
        <v>98</v>
      </c>
      <c r="J13" s="94"/>
      <c r="K13" s="94"/>
      <c r="L13" s="96">
        <v>400</v>
      </c>
      <c r="M13" s="96">
        <v>150</v>
      </c>
      <c r="N13" s="94"/>
      <c r="O13" s="94"/>
    </row>
    <row r="14" spans="1:18" ht="15.75" customHeight="1" x14ac:dyDescent="0.25">
      <c r="A14" s="103"/>
      <c r="B14" s="103"/>
    </row>
    <row r="15" spans="1:18" x14ac:dyDescent="0.25">
      <c r="A15" s="103"/>
      <c r="B15" s="103"/>
    </row>
    <row r="16" spans="1:18" x14ac:dyDescent="0.25">
      <c r="A16" s="103"/>
      <c r="B16" s="103"/>
    </row>
    <row r="17" spans="1:2" x14ac:dyDescent="0.25">
      <c r="A17" s="103"/>
      <c r="B17" s="103"/>
    </row>
    <row r="18" spans="1:2" x14ac:dyDescent="0.25">
      <c r="A18" s="103"/>
      <c r="B18" s="103"/>
    </row>
    <row r="19" spans="1:2" x14ac:dyDescent="0.25">
      <c r="A19" s="103"/>
      <c r="B19" s="103"/>
    </row>
    <row r="20" spans="1:2" x14ac:dyDescent="0.25">
      <c r="A20" s="103"/>
      <c r="B20" s="103"/>
    </row>
    <row r="21" spans="1:2" x14ac:dyDescent="0.25">
      <c r="A21" s="103"/>
      <c r="B21" s="103"/>
    </row>
    <row r="22" spans="1:2" x14ac:dyDescent="0.25">
      <c r="A22" s="103"/>
      <c r="B22" s="103"/>
    </row>
    <row r="23" spans="1:2" x14ac:dyDescent="0.25">
      <c r="B23" s="103"/>
    </row>
    <row r="24" spans="1:2" x14ac:dyDescent="0.25">
      <c r="B24" s="103"/>
    </row>
    <row r="1048576" spans="12:12" x14ac:dyDescent="0.25">
      <c r="L1048576" s="104">
        <f>Aug!B20</f>
        <v>31</v>
      </c>
    </row>
  </sheetData>
  <hyperlinks>
    <hyperlink ref="G3" r:id="rId1" xr:uid="{00000000-0004-0000-0000-000000000000}"/>
    <hyperlink ref="G5" r:id="rId2" xr:uid="{00000000-0004-0000-0000-000001000000}"/>
    <hyperlink ref="G8" r:id="rId3" xr:uid="{00000000-0004-0000-0000-000002000000}"/>
    <hyperlink ref="G6" r:id="rId4" xr:uid="{00000000-0004-0000-0000-000003000000}"/>
    <hyperlink ref="G7" r:id="rId5" xr:uid="{00000000-0004-0000-0000-000004000000}"/>
    <hyperlink ref="G9" r:id="rId6" xr:uid="{00000000-0004-0000-0000-000005000000}"/>
    <hyperlink ref="G11" r:id="rId7" xr:uid="{2EB7E816-5E7B-439C-8BC3-7F8BD5D6F937}"/>
    <hyperlink ref="G10" r:id="rId8" xr:uid="{9532AA4E-BA2E-4CD1-BC22-4BB04DCFB921}"/>
    <hyperlink ref="G12" r:id="rId9" xr:uid="{4D36D2D5-5F7C-400F-99DD-69C6B492591D}"/>
  </hyperlinks>
  <printOptions horizontalCentered="1"/>
  <pageMargins left="0.2" right="0.2" top="0.75" bottom="0.75" header="0.3" footer="0.3"/>
  <pageSetup scale="77" orientation="landscape" horizontalDpi="4294967295" verticalDpi="4294967295" r:id="rId1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0"/>
  <sheetViews>
    <sheetView showGridLines="0" workbookViewId="0">
      <selection activeCell="G26" sqref="G26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Calendar!C11</f>
        <v>Outlaw V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.75" thickBot="1" x14ac:dyDescent="0.3">
      <c r="A5" s="61" t="s">
        <v>47</v>
      </c>
      <c r="B5" s="60">
        <f>40*9</f>
        <v>360</v>
      </c>
      <c r="C5" s="2" t="s">
        <v>32</v>
      </c>
      <c r="F5" s="48" t="s">
        <v>46</v>
      </c>
      <c r="G5" s="47"/>
      <c r="H5" s="47"/>
      <c r="I5" s="57">
        <v>100</v>
      </c>
      <c r="J5" s="1">
        <f>I5*2</f>
        <v>200</v>
      </c>
    </row>
    <row r="6" spans="1:18" ht="15" x14ac:dyDescent="0.25">
      <c r="A6" s="48" t="s">
        <v>45</v>
      </c>
      <c r="B6" s="60">
        <f>I25</f>
        <v>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8"/>
      <c r="O6" s="73"/>
      <c r="P6" s="74"/>
      <c r="Q6" s="73"/>
      <c r="R6" s="75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6"/>
      <c r="O7" s="77"/>
      <c r="P7" s="78"/>
      <c r="Q7" s="77"/>
      <c r="R7" s="79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6"/>
      <c r="O8" s="77"/>
      <c r="P8" s="78"/>
      <c r="Q8" s="77"/>
      <c r="R8" s="79"/>
    </row>
    <row r="9" spans="1:18" ht="13.5" thickBot="1" x14ac:dyDescent="0.25">
      <c r="B9" s="41"/>
      <c r="I9" s="41"/>
      <c r="N9" s="76"/>
      <c r="O9" s="77"/>
      <c r="P9" s="77"/>
      <c r="Q9" s="77"/>
      <c r="R9" s="80"/>
    </row>
    <row r="10" spans="1:18" ht="14.25" customHeight="1" thickBot="1" x14ac:dyDescent="0.25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37.5</v>
      </c>
      <c r="N10" s="11"/>
      <c r="O10" s="81"/>
      <c r="P10" s="81"/>
      <c r="Q10" s="81"/>
      <c r="R10" s="82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56.25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356.25</v>
      </c>
    </row>
    <row r="13" spans="1:18" x14ac:dyDescent="0.2">
      <c r="A13" s="45" t="s">
        <v>34</v>
      </c>
      <c r="B13" s="44">
        <f>IF(SUM(B10:B11)=0,"",SUM(B5:B8)/SUM(B10:B11))</f>
        <v>19.2</v>
      </c>
    </row>
    <row r="14" spans="1:18" ht="13.5" thickBot="1" x14ac:dyDescent="0.25">
      <c r="A14" s="43" t="s">
        <v>33</v>
      </c>
      <c r="B14" s="42">
        <f>IF(B10=0,"",I12/B10)</f>
        <v>8.90625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27.90625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/>
      <c r="G18" s="31"/>
      <c r="H18" s="31"/>
      <c r="I18" s="30">
        <f>G18*H18</f>
        <v>0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29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Calendar!A11</f>
        <v>43567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43569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43520</v>
      </c>
      <c r="F25" s="23" t="s">
        <v>21</v>
      </c>
      <c r="G25" s="22">
        <f>SUM(G18:G24)</f>
        <v>0</v>
      </c>
      <c r="H25" s="22"/>
      <c r="I25" s="21">
        <f>SUM(I18:I24)*B10</f>
        <v>0</v>
      </c>
    </row>
    <row r="26" spans="1:14" ht="13.5" thickBot="1" x14ac:dyDescent="0.25">
      <c r="A26" s="20" t="s">
        <v>20</v>
      </c>
      <c r="B26" s="19">
        <f>IF(B23="","",B23-40)</f>
        <v>43527</v>
      </c>
    </row>
    <row r="27" spans="1:14" ht="15.75" thickBot="1" x14ac:dyDescent="0.3">
      <c r="A27" s="20" t="s">
        <v>19</v>
      </c>
      <c r="B27" s="19">
        <f>IF(B23="","",B24-6)</f>
        <v>43563</v>
      </c>
      <c r="F27" s="6"/>
      <c r="G27" s="18"/>
      <c r="H27" s="17" t="s">
        <v>18</v>
      </c>
      <c r="I27" s="16">
        <f>SUM(B5:B8,I12)</f>
        <v>1316.25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1360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43.75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2.5499999999999998</v>
      </c>
    </row>
  </sheetData>
  <conditionalFormatting sqref="I29">
    <cfRule type="cellIs" dxfId="5" priority="1" operator="lessThan">
      <formula>0</formula>
    </cfRule>
    <cfRule type="cellIs" dxfId="4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0"/>
  <sheetViews>
    <sheetView showGridLines="0" workbookViewId="0">
      <selection activeCell="G26" sqref="G26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Calendar!C12</f>
        <v>Moqui Water Trip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.75" thickBot="1" x14ac:dyDescent="0.3">
      <c r="A5" s="61" t="s">
        <v>47</v>
      </c>
      <c r="B5" s="60">
        <v>200</v>
      </c>
      <c r="C5" s="2" t="s">
        <v>32</v>
      </c>
      <c r="F5" s="48" t="s">
        <v>46</v>
      </c>
      <c r="G5" s="47"/>
      <c r="H5" s="47"/>
      <c r="I5" s="57">
        <v>127</v>
      </c>
      <c r="J5" s="1">
        <f>I5*2</f>
        <v>254</v>
      </c>
    </row>
    <row r="6" spans="1:18" ht="15" x14ac:dyDescent="0.25">
      <c r="A6" s="48" t="s">
        <v>45</v>
      </c>
      <c r="B6" s="60">
        <f>I25</f>
        <v>800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8"/>
      <c r="O6" s="73"/>
      <c r="P6" s="74"/>
      <c r="Q6" s="73"/>
      <c r="R6" s="75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6"/>
      <c r="O7" s="77"/>
      <c r="P7" s="78"/>
      <c r="Q7" s="77"/>
      <c r="R7" s="79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6"/>
      <c r="O8" s="77"/>
      <c r="P8" s="78"/>
      <c r="Q8" s="77"/>
      <c r="R8" s="79"/>
    </row>
    <row r="9" spans="1:18" ht="13.5" thickBot="1" x14ac:dyDescent="0.25">
      <c r="B9" s="41"/>
      <c r="I9" s="41"/>
      <c r="N9" s="76"/>
      <c r="O9" s="77"/>
      <c r="P9" s="77"/>
      <c r="Q9" s="77"/>
      <c r="R9" s="80"/>
    </row>
    <row r="10" spans="1:18" ht="14.25" customHeight="1" thickBot="1" x14ac:dyDescent="0.25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47.625</v>
      </c>
      <c r="N10" s="11"/>
      <c r="O10" s="81"/>
      <c r="P10" s="81"/>
      <c r="Q10" s="81"/>
      <c r="R10" s="82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71.4375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452.4375</v>
      </c>
    </row>
    <row r="13" spans="1:18" x14ac:dyDescent="0.2">
      <c r="A13" s="45" t="s">
        <v>34</v>
      </c>
      <c r="B13" s="44">
        <f>IF(SUM(B10:B11)=0,"",SUM(B5:B8)/SUM(B10:B11))</f>
        <v>32</v>
      </c>
    </row>
    <row r="14" spans="1:18" ht="13.5" thickBot="1" x14ac:dyDescent="0.25">
      <c r="A14" s="43" t="s">
        <v>33</v>
      </c>
      <c r="B14" s="42">
        <f>IF(B10=0,"",I12/B10)</f>
        <v>11.3109375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46.310937500000001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 t="s">
        <v>118</v>
      </c>
      <c r="G18" s="31">
        <v>20</v>
      </c>
      <c r="H18" s="31">
        <v>1</v>
      </c>
      <c r="I18" s="30">
        <f>G18*H18</f>
        <v>20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48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Calendar!A12</f>
        <v>43588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43590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43541</v>
      </c>
      <c r="F25" s="23" t="s">
        <v>21</v>
      </c>
      <c r="G25" s="22">
        <f>SUM(G18:G24)</f>
        <v>20</v>
      </c>
      <c r="H25" s="22"/>
      <c r="I25" s="21">
        <f>SUM(I18:I24)*B10</f>
        <v>800</v>
      </c>
    </row>
    <row r="26" spans="1:14" ht="13.5" thickBot="1" x14ac:dyDescent="0.25">
      <c r="A26" s="20" t="s">
        <v>20</v>
      </c>
      <c r="B26" s="19">
        <f>IF(B23="","",B23-40)</f>
        <v>43548</v>
      </c>
    </row>
    <row r="27" spans="1:14" ht="15.75" thickBot="1" x14ac:dyDescent="0.3">
      <c r="A27" s="20" t="s">
        <v>19</v>
      </c>
      <c r="B27" s="19">
        <f>IF(B23="","",B24-6)</f>
        <v>43584</v>
      </c>
      <c r="F27" s="6"/>
      <c r="G27" s="18"/>
      <c r="H27" s="17" t="s">
        <v>18</v>
      </c>
      <c r="I27" s="16">
        <f>SUM(B5:B8,I12)</f>
        <v>2052.4375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2120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67.5625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3.07</v>
      </c>
    </row>
  </sheetData>
  <conditionalFormatting sqref="I29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0"/>
  <sheetViews>
    <sheetView showGridLines="0" workbookViewId="0">
      <selection activeCell="G26" sqref="G26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1.85546875" style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Calendar!C13</f>
        <v>Summer Camp - Geronimo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.75" thickBot="1" x14ac:dyDescent="0.3">
      <c r="A5" s="61" t="s">
        <v>47</v>
      </c>
      <c r="B5" s="60">
        <v>0</v>
      </c>
      <c r="C5" s="2" t="s">
        <v>32</v>
      </c>
      <c r="F5" s="48" t="s">
        <v>46</v>
      </c>
      <c r="G5" s="47"/>
      <c r="H5" s="47"/>
      <c r="I5" s="57">
        <v>101</v>
      </c>
      <c r="J5" s="1">
        <f>I5*2</f>
        <v>202</v>
      </c>
    </row>
    <row r="6" spans="1:18" ht="15" x14ac:dyDescent="0.25">
      <c r="A6" s="48" t="s">
        <v>45</v>
      </c>
      <c r="B6" s="60">
        <v>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8"/>
      <c r="O6" s="73"/>
      <c r="P6" s="74"/>
      <c r="Q6" s="73"/>
      <c r="R6" s="75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6"/>
      <c r="O7" s="77"/>
      <c r="P7" s="78"/>
      <c r="Q7" s="77"/>
      <c r="R7" s="79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6"/>
      <c r="O8" s="77"/>
      <c r="P8" s="78"/>
      <c r="Q8" s="77"/>
      <c r="R8" s="79"/>
    </row>
    <row r="9" spans="1:18" ht="13.5" thickBot="1" x14ac:dyDescent="0.25">
      <c r="B9" s="41"/>
      <c r="I9" s="41"/>
      <c r="N9" s="76"/>
      <c r="O9" s="77"/>
      <c r="P9" s="77"/>
      <c r="Q9" s="77"/>
      <c r="R9" s="80"/>
    </row>
    <row r="10" spans="1:18" ht="14.25" customHeight="1" thickBot="1" x14ac:dyDescent="0.25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37.875</v>
      </c>
      <c r="N10" s="11"/>
      <c r="O10" s="81"/>
      <c r="P10" s="81"/>
      <c r="Q10" s="81"/>
      <c r="R10" s="82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56.8125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359.8125</v>
      </c>
    </row>
    <row r="13" spans="1:18" x14ac:dyDescent="0.2">
      <c r="A13" s="45" t="s">
        <v>34</v>
      </c>
      <c r="B13" s="44">
        <f>IF(SUM(B10:B11)=0,"",SUM(B5:B8)/SUM(B10:B11))</f>
        <v>12</v>
      </c>
    </row>
    <row r="14" spans="1:18" ht="13.5" thickBot="1" x14ac:dyDescent="0.25">
      <c r="A14" s="43" t="s">
        <v>33</v>
      </c>
      <c r="B14" s="42">
        <f>IF(B10=0,"",I12/B10)</f>
        <v>8.9953125000000007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393.99531250000001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v>150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 t="s">
        <v>98</v>
      </c>
      <c r="G18" s="31">
        <v>1</v>
      </c>
      <c r="H18" s="31">
        <v>375</v>
      </c>
      <c r="I18" s="30">
        <f>G18*H18</f>
        <v>375</v>
      </c>
      <c r="M18" s="29">
        <v>1</v>
      </c>
      <c r="N18" s="1" t="s">
        <v>24</v>
      </c>
    </row>
    <row r="19" spans="1:14" ht="13.5" thickBot="1" x14ac:dyDescent="0.25">
      <c r="F19" s="26" t="s">
        <v>99</v>
      </c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395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Calendar!A13</f>
        <v>43639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43641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43592</v>
      </c>
      <c r="F25" s="23" t="s">
        <v>21</v>
      </c>
      <c r="G25" s="22">
        <f>SUM(G18:G24)</f>
        <v>1</v>
      </c>
      <c r="H25" s="22"/>
      <c r="I25" s="21">
        <f>SUM(I18:I24)*B10</f>
        <v>15000</v>
      </c>
    </row>
    <row r="26" spans="1:14" ht="13.5" thickBot="1" x14ac:dyDescent="0.25">
      <c r="A26" s="20" t="s">
        <v>20</v>
      </c>
      <c r="B26" s="19">
        <f>IF(B23="","",B23-40)</f>
        <v>43599</v>
      </c>
    </row>
    <row r="27" spans="1:14" ht="15.75" thickBot="1" x14ac:dyDescent="0.3">
      <c r="A27" s="20" t="s">
        <v>19</v>
      </c>
      <c r="B27" s="19">
        <f>IF(B23="","",B24-6)</f>
        <v>43635</v>
      </c>
      <c r="F27" s="6"/>
      <c r="G27" s="18"/>
      <c r="H27" s="17" t="s">
        <v>18</v>
      </c>
      <c r="I27" s="16">
        <v>16000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16000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0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12.62</v>
      </c>
    </row>
  </sheetData>
  <conditionalFormatting sqref="I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showGridLines="0" workbookViewId="0">
      <selection activeCell="L26" sqref="L26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29.85546875" style="1" bestFit="1" customWidth="1"/>
    <col min="18" max="18" width="30.85546875" style="1" bestFit="1" customWidth="1"/>
    <col min="19" max="16384" width="9.140625" style="1"/>
  </cols>
  <sheetData>
    <row r="1" spans="1:11" ht="30.75" thickBot="1" x14ac:dyDescent="0.45">
      <c r="A1" s="72" t="str">
        <f>Calendar!C3</f>
        <v>Lava River Cave</v>
      </c>
      <c r="B1" s="70"/>
      <c r="C1" s="71"/>
      <c r="D1" s="70"/>
      <c r="E1" s="70"/>
      <c r="F1" s="70"/>
      <c r="G1" s="70"/>
      <c r="H1" s="70"/>
      <c r="I1" s="69"/>
    </row>
    <row r="2" spans="1:11" ht="13.5" thickBot="1" x14ac:dyDescent="0.25"/>
    <row r="3" spans="1:11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1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1" ht="15" x14ac:dyDescent="0.25">
      <c r="A5" s="61" t="s">
        <v>47</v>
      </c>
      <c r="B5" s="60">
        <v>0</v>
      </c>
      <c r="C5" s="2" t="s">
        <v>32</v>
      </c>
      <c r="F5" s="48" t="s">
        <v>46</v>
      </c>
      <c r="G5" s="47"/>
      <c r="H5" s="47"/>
      <c r="I5" s="57">
        <v>186</v>
      </c>
      <c r="J5" s="1">
        <f>I5*2</f>
        <v>372</v>
      </c>
    </row>
    <row r="6" spans="1:11" ht="15" x14ac:dyDescent="0.25">
      <c r="A6" s="48" t="s">
        <v>45</v>
      </c>
      <c r="B6" s="60">
        <v>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</row>
    <row r="7" spans="1:11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</row>
    <row r="8" spans="1:11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</row>
    <row r="9" spans="1:11" ht="13.5" thickBot="1" x14ac:dyDescent="0.25">
      <c r="B9" s="41"/>
      <c r="I9" s="41"/>
    </row>
    <row r="10" spans="1:11" ht="14.25" customHeight="1" x14ac:dyDescent="0.2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69.75</v>
      </c>
    </row>
    <row r="11" spans="1:11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104.625</v>
      </c>
    </row>
    <row r="12" spans="1:11" ht="13.5" thickBot="1" x14ac:dyDescent="0.25">
      <c r="B12" s="41"/>
      <c r="F12" s="23" t="s">
        <v>35</v>
      </c>
      <c r="G12" s="46"/>
      <c r="H12" s="46"/>
      <c r="I12" s="21">
        <f>(I6*J6*$I$10)+(I7*J7*$I$10)</f>
        <v>662.625</v>
      </c>
    </row>
    <row r="13" spans="1:11" x14ac:dyDescent="0.2">
      <c r="A13" s="45" t="s">
        <v>34</v>
      </c>
      <c r="B13" s="44">
        <f>IF(SUM(B10:B11)=0,"",SUM(B5:B8)/SUM(B10:B11))</f>
        <v>12</v>
      </c>
    </row>
    <row r="14" spans="1:11" ht="13.5" thickBot="1" x14ac:dyDescent="0.25">
      <c r="A14" s="43" t="s">
        <v>33</v>
      </c>
      <c r="B14" s="42">
        <f>IF(B10=0,"",I12/B10)</f>
        <v>16.565625000000001</v>
      </c>
      <c r="C14" s="2" t="s">
        <v>32</v>
      </c>
    </row>
    <row r="15" spans="1:11" ht="13.5" thickBot="1" x14ac:dyDescent="0.25">
      <c r="B15" s="41"/>
    </row>
    <row r="16" spans="1:11" ht="16.5" thickBot="1" x14ac:dyDescent="0.3">
      <c r="A16" s="37" t="s">
        <v>31</v>
      </c>
      <c r="B16" s="36">
        <f>IF(B10=0,"",(B5+B7+I25+I12)/B10)</f>
        <v>26.565625000000001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/>
      <c r="G18" s="31"/>
      <c r="H18" s="31"/>
      <c r="I18" s="30">
        <f>G18*H18</f>
        <v>0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IF(ISERROR(CEILING(B16,5)+1),"",CEILING(B16,5)+1)</f>
        <v>31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'[1]2018-9 Calendar'!B2</f>
        <v>42965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42967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42918</v>
      </c>
      <c r="F25" s="23" t="s">
        <v>21</v>
      </c>
      <c r="G25" s="22">
        <f>SUM(G18:G24)</f>
        <v>0</v>
      </c>
      <c r="H25" s="22"/>
      <c r="I25" s="21">
        <f>SUM(I18:I24)*B10</f>
        <v>0</v>
      </c>
    </row>
    <row r="26" spans="1:14" ht="13.5" thickBot="1" x14ac:dyDescent="0.25">
      <c r="A26" s="20" t="s">
        <v>20</v>
      </c>
      <c r="B26" s="19">
        <f>IF(B23="","",B23-40)</f>
        <v>42925</v>
      </c>
    </row>
    <row r="27" spans="1:14" ht="15.75" thickBot="1" x14ac:dyDescent="0.3">
      <c r="A27" s="20" t="s">
        <v>19</v>
      </c>
      <c r="B27" s="19">
        <f>IF(B23="","",B24-6)</f>
        <v>42961</v>
      </c>
      <c r="F27" s="6"/>
      <c r="G27" s="18"/>
      <c r="H27" s="17" t="s">
        <v>18</v>
      </c>
      <c r="I27" s="16">
        <f>SUM(B5:B8,I12)</f>
        <v>1262.625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1440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177.375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2.61</v>
      </c>
    </row>
  </sheetData>
  <conditionalFormatting sqref="I29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0"/>
  <sheetViews>
    <sheetView showGridLines="0" workbookViewId="0">
      <selection activeCell="Q31" sqref="Q31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29.85546875" style="1" bestFit="1" customWidth="1"/>
    <col min="18" max="18" width="30.85546875" style="1" bestFit="1" customWidth="1"/>
    <col min="19" max="16384" width="9.140625" style="1"/>
  </cols>
  <sheetData>
    <row r="1" spans="1:11" ht="30.75" thickBot="1" x14ac:dyDescent="0.45">
      <c r="A1" s="72" t="str">
        <f>Calendar!C4</f>
        <v>Mavericks Camporee</v>
      </c>
      <c r="B1" s="70"/>
      <c r="C1" s="71"/>
      <c r="D1" s="70"/>
      <c r="E1" s="70"/>
      <c r="F1" s="70"/>
      <c r="G1" s="70"/>
      <c r="H1" s="70"/>
      <c r="I1" s="69"/>
    </row>
    <row r="2" spans="1:11" ht="13.5" thickBot="1" x14ac:dyDescent="0.25"/>
    <row r="3" spans="1:11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1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1" ht="15" x14ac:dyDescent="0.25">
      <c r="A5" s="61" t="s">
        <v>47</v>
      </c>
      <c r="B5" s="60">
        <v>0</v>
      </c>
      <c r="C5" s="2" t="s">
        <v>32</v>
      </c>
      <c r="F5" s="48" t="s">
        <v>46</v>
      </c>
      <c r="G5" s="47"/>
      <c r="H5" s="47"/>
      <c r="I5" s="57">
        <v>98</v>
      </c>
      <c r="J5" s="1">
        <f>I5*2</f>
        <v>196</v>
      </c>
    </row>
    <row r="6" spans="1:11" ht="15" x14ac:dyDescent="0.25">
      <c r="A6" s="48" t="s">
        <v>45</v>
      </c>
      <c r="B6" s="60">
        <v>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</row>
    <row r="7" spans="1:11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</row>
    <row r="8" spans="1:11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</row>
    <row r="9" spans="1:11" ht="13.5" thickBot="1" x14ac:dyDescent="0.25">
      <c r="B9" s="41"/>
      <c r="I9" s="41"/>
    </row>
    <row r="10" spans="1:11" ht="14.25" customHeight="1" x14ac:dyDescent="0.2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36.75</v>
      </c>
    </row>
    <row r="11" spans="1:11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55.125</v>
      </c>
    </row>
    <row r="12" spans="1:11" ht="13.5" thickBot="1" x14ac:dyDescent="0.25">
      <c r="B12" s="41"/>
      <c r="F12" s="23" t="s">
        <v>35</v>
      </c>
      <c r="G12" s="46"/>
      <c r="H12" s="46"/>
      <c r="I12" s="21">
        <f>(I6*J6*$I$10)+(I7*J7*$I$10)</f>
        <v>349.125</v>
      </c>
    </row>
    <row r="13" spans="1:11" x14ac:dyDescent="0.2">
      <c r="A13" s="45" t="s">
        <v>34</v>
      </c>
      <c r="B13" s="44">
        <f>IF(SUM(B10:B11)=0,"",SUM(B5:B8)/SUM(B10:B11))</f>
        <v>12</v>
      </c>
    </row>
    <row r="14" spans="1:11" ht="13.5" thickBot="1" x14ac:dyDescent="0.25">
      <c r="A14" s="43" t="s">
        <v>33</v>
      </c>
      <c r="B14" s="42">
        <f>IF(B10=0,"",I12/B10)</f>
        <v>8.7281250000000004</v>
      </c>
      <c r="C14" s="2" t="s">
        <v>32</v>
      </c>
    </row>
    <row r="15" spans="1:11" ht="13.5" thickBot="1" x14ac:dyDescent="0.25">
      <c r="B15" s="41"/>
    </row>
    <row r="16" spans="1:11" ht="16.5" thickBot="1" x14ac:dyDescent="0.3">
      <c r="A16" s="37" t="s">
        <v>31</v>
      </c>
      <c r="B16" s="36">
        <f>IF(B10=0,"",(B5+B7+I25+I12)/B10)</f>
        <v>30.728124999999999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32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 t="s">
        <v>70</v>
      </c>
      <c r="G18" s="31">
        <v>12</v>
      </c>
      <c r="H18" s="31">
        <v>1</v>
      </c>
      <c r="I18" s="24">
        <f t="shared" ref="I18:I24" si="0">H18*G18</f>
        <v>12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si="0"/>
        <v>0</v>
      </c>
    </row>
    <row r="20" spans="1:14" ht="13.5" thickBot="1" x14ac:dyDescent="0.25">
      <c r="A20" s="28" t="s">
        <v>23</v>
      </c>
      <c r="B20" s="27">
        <f>IF(ISERROR(CEILING(B16,1)+1),"",CEILING(B16,1)+1)</f>
        <v>32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Calendar!A4</f>
        <v>43364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43366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43317</v>
      </c>
      <c r="F25" s="23" t="s">
        <v>21</v>
      </c>
      <c r="G25" s="22">
        <f>SUM(G18:G24)</f>
        <v>12</v>
      </c>
      <c r="H25" s="22"/>
      <c r="I25" s="21">
        <f>SUM(I18:I24)*B10</f>
        <v>480</v>
      </c>
    </row>
    <row r="26" spans="1:14" ht="13.5" thickBot="1" x14ac:dyDescent="0.25">
      <c r="A26" s="20" t="s">
        <v>20</v>
      </c>
      <c r="B26" s="19">
        <f>IF(B23="","",B23-40)</f>
        <v>43324</v>
      </c>
    </row>
    <row r="27" spans="1:14" ht="15.75" thickBot="1" x14ac:dyDescent="0.3">
      <c r="A27" s="20" t="s">
        <v>19</v>
      </c>
      <c r="B27" s="19">
        <f>IF(B23="","",B24-6)</f>
        <v>43360</v>
      </c>
      <c r="F27" s="6"/>
      <c r="G27" s="18"/>
      <c r="H27" s="17" t="s">
        <v>18</v>
      </c>
      <c r="I27" s="16">
        <f>SUM(B5:B8,I12)</f>
        <v>949.125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1480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530.875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2.63</v>
      </c>
    </row>
  </sheetData>
  <conditionalFormatting sqref="I29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0"/>
  <sheetViews>
    <sheetView showGridLines="0" workbookViewId="0">
      <selection activeCell="F38" sqref="F38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Calendar!C5</f>
        <v>Lake Havasu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.75" thickBot="1" x14ac:dyDescent="0.3">
      <c r="A5" s="61" t="s">
        <v>47</v>
      </c>
      <c r="B5" s="60">
        <v>305</v>
      </c>
      <c r="C5" s="2" t="s">
        <v>32</v>
      </c>
      <c r="F5" s="48" t="s">
        <v>46</v>
      </c>
      <c r="G5" s="47"/>
      <c r="H5" s="47"/>
      <c r="I5" s="57">
        <v>244</v>
      </c>
      <c r="J5" s="1">
        <f>I5*2</f>
        <v>488</v>
      </c>
    </row>
    <row r="6" spans="1:18" ht="15" x14ac:dyDescent="0.25">
      <c r="A6" s="48" t="s">
        <v>45</v>
      </c>
      <c r="B6" s="60">
        <v>425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8" t="s">
        <v>63</v>
      </c>
      <c r="O6" s="73"/>
      <c r="P6" s="74">
        <v>3</v>
      </c>
      <c r="Q6" s="73" t="s">
        <v>64</v>
      </c>
      <c r="R6" s="75">
        <f>P6*SUM(B10:B11)</f>
        <v>150</v>
      </c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6"/>
      <c r="O7" s="77"/>
      <c r="P7" s="78">
        <v>15</v>
      </c>
      <c r="Q7" s="77" t="s">
        <v>65</v>
      </c>
      <c r="R7" s="79">
        <f>P7*SUM(I6:I7)</f>
        <v>135</v>
      </c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6"/>
      <c r="O8" s="77"/>
      <c r="P8" s="78">
        <v>20</v>
      </c>
      <c r="Q8" s="77" t="s">
        <v>66</v>
      </c>
      <c r="R8" s="79">
        <f>P8</f>
        <v>20</v>
      </c>
    </row>
    <row r="9" spans="1:18" ht="13.5" thickBot="1" x14ac:dyDescent="0.25">
      <c r="B9" s="41"/>
      <c r="I9" s="41"/>
      <c r="N9" s="76"/>
      <c r="O9" s="77"/>
      <c r="P9" s="77"/>
      <c r="Q9" s="77"/>
      <c r="R9" s="80">
        <f>SUM(R6:R8)</f>
        <v>305</v>
      </c>
    </row>
    <row r="10" spans="1:18" ht="14.25" customHeight="1" thickBot="1" x14ac:dyDescent="0.25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91.5</v>
      </c>
      <c r="N10" s="11"/>
      <c r="O10" s="81"/>
      <c r="P10" s="81"/>
      <c r="Q10" s="81"/>
      <c r="R10" s="82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137.25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869.25</v>
      </c>
    </row>
    <row r="13" spans="1:18" x14ac:dyDescent="0.2">
      <c r="A13" s="45" t="s">
        <v>34</v>
      </c>
      <c r="B13" s="44">
        <f>IF(SUM(B10:B11)=0,"",SUM(B5:B8)/SUM(B10:B11))</f>
        <v>26.6</v>
      </c>
    </row>
    <row r="14" spans="1:18" ht="13.5" thickBot="1" x14ac:dyDescent="0.25">
      <c r="A14" s="43" t="s">
        <v>33</v>
      </c>
      <c r="B14" s="42">
        <f>IF(B10=0,"",I12/B10)</f>
        <v>21.731249999999999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86.356250000000003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67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 t="s">
        <v>67</v>
      </c>
      <c r="G18" s="31">
        <v>47</v>
      </c>
      <c r="H18" s="31">
        <v>1</v>
      </c>
      <c r="I18" s="30">
        <f>G18*H18</f>
        <v>47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88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Calendar!A4</f>
        <v>43364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43366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43317</v>
      </c>
      <c r="F25" s="23" t="s">
        <v>21</v>
      </c>
      <c r="G25" s="22">
        <f>SUM(G18:G24)</f>
        <v>47</v>
      </c>
      <c r="H25" s="22"/>
      <c r="I25" s="21">
        <f>SUM(I18:I24)*B10</f>
        <v>1880</v>
      </c>
    </row>
    <row r="26" spans="1:14" ht="13.5" thickBot="1" x14ac:dyDescent="0.25">
      <c r="A26" s="20" t="s">
        <v>20</v>
      </c>
      <c r="B26" s="19">
        <f>IF(B23="","",B23-40)</f>
        <v>43324</v>
      </c>
    </row>
    <row r="27" spans="1:14" ht="15.75" thickBot="1" x14ac:dyDescent="0.3">
      <c r="A27" s="20" t="s">
        <v>19</v>
      </c>
      <c r="B27" s="19">
        <f>IF(B23="","",B24-6)</f>
        <v>43360</v>
      </c>
      <c r="F27" s="6"/>
      <c r="G27" s="18"/>
      <c r="H27" s="17" t="s">
        <v>18</v>
      </c>
      <c r="I27" s="16">
        <f>SUM(B5:B8,I12)</f>
        <v>2199.25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3720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1520.75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4.17</v>
      </c>
    </row>
  </sheetData>
  <conditionalFormatting sqref="I29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0"/>
  <sheetViews>
    <sheetView showGridLines="0" workbookViewId="0">
      <selection activeCell="F18" sqref="F18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Calendar!C6</f>
        <v>Coon Bluff - Webelos Overnighter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" x14ac:dyDescent="0.25">
      <c r="A5" s="61" t="s">
        <v>47</v>
      </c>
      <c r="B5" s="84">
        <v>0</v>
      </c>
      <c r="C5" s="2" t="s">
        <v>32</v>
      </c>
      <c r="F5" s="48" t="s">
        <v>46</v>
      </c>
      <c r="G5" s="47"/>
      <c r="H5" s="47"/>
      <c r="I5" s="57">
        <v>27</v>
      </c>
      <c r="J5" s="1">
        <f>I5*2</f>
        <v>54</v>
      </c>
    </row>
    <row r="6" spans="1:18" ht="15" x14ac:dyDescent="0.25">
      <c r="A6" s="48" t="s">
        <v>45</v>
      </c>
      <c r="B6" s="60">
        <f>I25</f>
        <v>320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77"/>
      <c r="O6" s="77"/>
      <c r="P6" s="78"/>
      <c r="Q6" s="77"/>
      <c r="R6" s="78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7"/>
      <c r="O7" s="77"/>
      <c r="P7" s="78"/>
      <c r="Q7" s="77"/>
      <c r="R7" s="78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7"/>
      <c r="O8" s="77"/>
      <c r="P8" s="78"/>
      <c r="Q8" s="77"/>
      <c r="R8" s="78"/>
    </row>
    <row r="9" spans="1:18" ht="13.5" thickBot="1" x14ac:dyDescent="0.25">
      <c r="B9" s="41"/>
      <c r="I9" s="41"/>
      <c r="N9" s="77"/>
      <c r="O9" s="77"/>
      <c r="P9" s="77"/>
      <c r="Q9" s="77"/>
      <c r="R9" s="83"/>
    </row>
    <row r="10" spans="1:18" ht="14.25" customHeight="1" x14ac:dyDescent="0.2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10.125</v>
      </c>
      <c r="N10" s="77"/>
      <c r="O10" s="77"/>
      <c r="P10" s="77"/>
      <c r="Q10" s="77"/>
      <c r="R10" s="77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15.1875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96.1875</v>
      </c>
    </row>
    <row r="13" spans="1:18" x14ac:dyDescent="0.2">
      <c r="A13" s="45" t="s">
        <v>34</v>
      </c>
      <c r="B13" s="44">
        <f>IF(SUM(B10:B11)=0,"",SUM(B5:B8)/SUM(B10:B11))</f>
        <v>18.399999999999999</v>
      </c>
    </row>
    <row r="14" spans="1:18" ht="13.5" thickBot="1" x14ac:dyDescent="0.25">
      <c r="A14" s="43" t="s">
        <v>33</v>
      </c>
      <c r="B14" s="42">
        <f>IF(B10=0,"",I12/B10)</f>
        <v>2.4046875000000001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20.404687500000001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28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 t="s">
        <v>93</v>
      </c>
      <c r="G18" s="31">
        <v>8</v>
      </c>
      <c r="H18" s="31">
        <v>1</v>
      </c>
      <c r="I18" s="30">
        <f>G18*H18</f>
        <v>8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22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Calendar!A6</f>
        <v>43413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43415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43366</v>
      </c>
      <c r="F25" s="23" t="s">
        <v>21</v>
      </c>
      <c r="G25" s="22">
        <f>SUM(G18:G24)</f>
        <v>8</v>
      </c>
      <c r="H25" s="22"/>
      <c r="I25" s="21">
        <f>SUM(I18:I24)*B10</f>
        <v>320</v>
      </c>
    </row>
    <row r="26" spans="1:14" ht="13.5" thickBot="1" x14ac:dyDescent="0.25">
      <c r="A26" s="20" t="s">
        <v>20</v>
      </c>
      <c r="B26" s="19">
        <f>IF(B23="","",B23-40)</f>
        <v>43373</v>
      </c>
    </row>
    <row r="27" spans="1:14" ht="15.75" thickBot="1" x14ac:dyDescent="0.3">
      <c r="A27" s="20" t="s">
        <v>19</v>
      </c>
      <c r="B27" s="19">
        <f>IF(B23="","",B24-6)</f>
        <v>43409</v>
      </c>
      <c r="F27" s="6"/>
      <c r="G27" s="18"/>
      <c r="H27" s="17" t="s">
        <v>18</v>
      </c>
      <c r="I27" s="16">
        <f>SUM(B5:B8,I12)</f>
        <v>1016.1875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1080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63.8125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2.36</v>
      </c>
    </row>
  </sheetData>
  <conditionalFormatting sqref="I29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0"/>
  <sheetViews>
    <sheetView showGridLines="0" workbookViewId="0">
      <selection activeCell="H20" sqref="H20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1" ht="30.75" thickBot="1" x14ac:dyDescent="0.45">
      <c r="A1" s="72" t="str">
        <f>Calendar!C7</f>
        <v>COPE @ Heard Pueblo</v>
      </c>
      <c r="B1" s="70"/>
      <c r="C1" s="71"/>
      <c r="D1" s="70"/>
      <c r="E1" s="70"/>
      <c r="F1" s="70"/>
      <c r="G1" s="70"/>
      <c r="H1" s="70"/>
      <c r="I1" s="69"/>
    </row>
    <row r="2" spans="1:11" ht="13.5" thickBot="1" x14ac:dyDescent="0.25"/>
    <row r="3" spans="1:11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1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1" ht="15" x14ac:dyDescent="0.25">
      <c r="A5" s="61" t="s">
        <v>47</v>
      </c>
      <c r="B5" s="60">
        <v>300</v>
      </c>
      <c r="C5" s="2" t="s">
        <v>32</v>
      </c>
      <c r="F5" s="48" t="s">
        <v>46</v>
      </c>
      <c r="G5" s="47"/>
      <c r="H5" s="47"/>
      <c r="I5" s="57">
        <v>21</v>
      </c>
      <c r="J5" s="1">
        <f>I5*2</f>
        <v>42</v>
      </c>
    </row>
    <row r="6" spans="1:11" ht="15" x14ac:dyDescent="0.25">
      <c r="A6" s="48" t="s">
        <v>45</v>
      </c>
      <c r="B6" s="60">
        <v>0</v>
      </c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</row>
    <row r="7" spans="1:11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</row>
    <row r="8" spans="1:11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</row>
    <row r="9" spans="1:11" ht="13.5" thickBot="1" x14ac:dyDescent="0.25">
      <c r="B9" s="41"/>
      <c r="I9" s="41"/>
    </row>
    <row r="10" spans="1:11" ht="14.25" customHeight="1" x14ac:dyDescent="0.2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7.875</v>
      </c>
    </row>
    <row r="11" spans="1:11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11.8125</v>
      </c>
    </row>
    <row r="12" spans="1:11" ht="13.5" thickBot="1" x14ac:dyDescent="0.25">
      <c r="B12" s="41"/>
      <c r="F12" s="23" t="s">
        <v>35</v>
      </c>
      <c r="G12" s="46"/>
      <c r="H12" s="46"/>
      <c r="I12" s="21">
        <f>(I6*J6*$I$10)+(I7*J7*$I$10)</f>
        <v>74.8125</v>
      </c>
    </row>
    <row r="13" spans="1:11" x14ac:dyDescent="0.2">
      <c r="A13" s="45" t="s">
        <v>34</v>
      </c>
      <c r="B13" s="44">
        <f>IF(SUM(B10:B11)=0,"",SUM(B5:B8)/SUM(B10:B11))</f>
        <v>18</v>
      </c>
    </row>
    <row r="14" spans="1:11" ht="13.5" thickBot="1" x14ac:dyDescent="0.25">
      <c r="A14" s="43" t="s">
        <v>33</v>
      </c>
      <c r="B14" s="42">
        <f>IF(B10=0,"",I12/B10)</f>
        <v>1.8703125</v>
      </c>
      <c r="C14" s="2" t="s">
        <v>32</v>
      </c>
    </row>
    <row r="15" spans="1:11" ht="13.5" thickBot="1" x14ac:dyDescent="0.25">
      <c r="B15" s="41"/>
    </row>
    <row r="16" spans="1:11" ht="16.5" thickBot="1" x14ac:dyDescent="0.3">
      <c r="A16" s="37" t="s">
        <v>31</v>
      </c>
      <c r="B16" s="36">
        <f>IF(B10=0,"",(B5+B7+I25+I12)/B10)</f>
        <v>50.370312499999997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 t="s">
        <v>84</v>
      </c>
      <c r="G18" s="31">
        <v>25</v>
      </c>
      <c r="H18" s="31">
        <v>1</v>
      </c>
      <c r="I18" s="30">
        <f>G18*H18</f>
        <v>25</v>
      </c>
      <c r="M18" s="29">
        <v>1</v>
      </c>
      <c r="N18" s="1" t="s">
        <v>24</v>
      </c>
    </row>
    <row r="19" spans="1:14" ht="13.5" thickBot="1" x14ac:dyDescent="0.25">
      <c r="F19" s="26" t="s">
        <v>90</v>
      </c>
      <c r="G19" s="25">
        <v>6</v>
      </c>
      <c r="H19" s="25">
        <v>1</v>
      </c>
      <c r="I19" s="24">
        <f t="shared" ref="I19:I24" si="0">H19*G19</f>
        <v>6</v>
      </c>
    </row>
    <row r="20" spans="1:14" ht="13.5" thickBot="1" x14ac:dyDescent="0.25">
      <c r="A20" s="28" t="s">
        <v>23</v>
      </c>
      <c r="B20" s="27">
        <f>IF(ISERROR(CEILING(B16,1)+1),"",CEILING(B16,1)+1)</f>
        <v>52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Calendar!A7</f>
        <v>43441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43443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43394</v>
      </c>
      <c r="F25" s="23" t="s">
        <v>21</v>
      </c>
      <c r="G25" s="22">
        <f>SUM(G18:G24)</f>
        <v>31</v>
      </c>
      <c r="H25" s="22"/>
      <c r="I25" s="21">
        <f>SUM(I18:I24)*B10</f>
        <v>1240</v>
      </c>
    </row>
    <row r="26" spans="1:14" ht="13.5" thickBot="1" x14ac:dyDescent="0.25">
      <c r="A26" s="20" t="s">
        <v>20</v>
      </c>
      <c r="B26" s="19">
        <f>IF(B23="","",B23-40)</f>
        <v>43401</v>
      </c>
    </row>
    <row r="27" spans="1:14" ht="15.75" thickBot="1" x14ac:dyDescent="0.3">
      <c r="A27" s="20" t="s">
        <v>19</v>
      </c>
      <c r="B27" s="19">
        <f>IF(B23="","",B24-6)</f>
        <v>43437</v>
      </c>
      <c r="F27" s="6"/>
      <c r="G27" s="18"/>
      <c r="H27" s="17" t="s">
        <v>18</v>
      </c>
      <c r="I27" s="16">
        <f>SUM(B5:B8,I12)</f>
        <v>974.8125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2280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1305.1875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3.18</v>
      </c>
    </row>
  </sheetData>
  <conditionalFormatting sqref="I29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0"/>
  <sheetViews>
    <sheetView showGridLines="0" workbookViewId="0">
      <selection activeCell="H20" sqref="H20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Calendar!C8</f>
        <v>Snow Camp @ R-C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.75" thickBot="1" x14ac:dyDescent="0.3">
      <c r="A5" s="61" t="s">
        <v>47</v>
      </c>
      <c r="B5" s="60">
        <v>600</v>
      </c>
      <c r="C5" s="2" t="s">
        <v>32</v>
      </c>
      <c r="F5" s="48" t="s">
        <v>46</v>
      </c>
      <c r="G5" s="47"/>
      <c r="H5" s="47"/>
      <c r="I5" s="57">
        <v>100</v>
      </c>
      <c r="J5" s="1">
        <f>I5*2</f>
        <v>200</v>
      </c>
    </row>
    <row r="6" spans="1:18" ht="15" x14ac:dyDescent="0.25">
      <c r="A6" s="48" t="s">
        <v>45</v>
      </c>
      <c r="B6" s="60"/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8"/>
      <c r="O6" s="73"/>
      <c r="P6" s="74"/>
      <c r="Q6" s="73"/>
      <c r="R6" s="75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6"/>
      <c r="O7" s="77"/>
      <c r="P7" s="78"/>
      <c r="Q7" s="77"/>
      <c r="R7" s="79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6"/>
      <c r="O8" s="77"/>
      <c r="P8" s="78"/>
      <c r="Q8" s="77"/>
      <c r="R8" s="79"/>
    </row>
    <row r="9" spans="1:18" ht="13.5" thickBot="1" x14ac:dyDescent="0.25">
      <c r="B9" s="41"/>
      <c r="I9" s="41"/>
      <c r="N9" s="76"/>
      <c r="O9" s="77"/>
      <c r="P9" s="77"/>
      <c r="Q9" s="77"/>
      <c r="R9" s="80"/>
    </row>
    <row r="10" spans="1:18" ht="14.25" customHeight="1" thickBot="1" x14ac:dyDescent="0.25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37.5</v>
      </c>
      <c r="N10" s="11"/>
      <c r="O10" s="81"/>
      <c r="P10" s="81"/>
      <c r="Q10" s="81"/>
      <c r="R10" s="82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56.25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356.25</v>
      </c>
    </row>
    <row r="13" spans="1:18" x14ac:dyDescent="0.2">
      <c r="A13" s="45" t="s">
        <v>34</v>
      </c>
      <c r="B13" s="44">
        <f>IF(SUM(B10:B11)=0,"",SUM(B5:B8)/SUM(B10:B11))</f>
        <v>24</v>
      </c>
    </row>
    <row r="14" spans="1:18" ht="13.5" thickBot="1" x14ac:dyDescent="0.25">
      <c r="A14" s="43" t="s">
        <v>33</v>
      </c>
      <c r="B14" s="42">
        <f>IF(B10=0,"",I12/B10)</f>
        <v>8.90625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33.90625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/>
      <c r="G18" s="31"/>
      <c r="H18" s="31"/>
      <c r="I18" s="30">
        <f>G18*H18</f>
        <v>0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35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Calendar!A8</f>
        <v>43483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43485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43436</v>
      </c>
      <c r="F25" s="23" t="s">
        <v>21</v>
      </c>
      <c r="G25" s="22">
        <f>SUM(G18:G24)</f>
        <v>0</v>
      </c>
      <c r="H25" s="22"/>
      <c r="I25" s="21">
        <f>SUM(I18:I24)*B10</f>
        <v>0</v>
      </c>
    </row>
    <row r="26" spans="1:14" ht="13.5" thickBot="1" x14ac:dyDescent="0.25">
      <c r="A26" s="20" t="s">
        <v>20</v>
      </c>
      <c r="B26" s="19">
        <f>IF(B23="","",B23-40)</f>
        <v>43443</v>
      </c>
    </row>
    <row r="27" spans="1:14" ht="15.75" thickBot="1" x14ac:dyDescent="0.3">
      <c r="A27" s="20" t="s">
        <v>19</v>
      </c>
      <c r="B27" s="19">
        <f>IF(B23="","",B24-6)</f>
        <v>43479</v>
      </c>
      <c r="F27" s="6"/>
      <c r="G27" s="18"/>
      <c r="H27" s="17" t="s">
        <v>18</v>
      </c>
      <c r="I27" s="16">
        <f>SUM(B5:B8,I12)</f>
        <v>1556.25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1600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43.75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2.7199999999999998</v>
      </c>
    </row>
  </sheetData>
  <conditionalFormatting sqref="I29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0"/>
  <sheetViews>
    <sheetView showGridLines="0" workbookViewId="0">
      <selection activeCell="Q30" sqref="A1:Q30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4" width="9.140625" style="1"/>
    <col min="15" max="15" width="19.140625" style="1" bestFit="1" customWidth="1"/>
    <col min="16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Calendar!C9</f>
        <v>Ski Trip @ White Mtn FUMC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" x14ac:dyDescent="0.25">
      <c r="A5" s="61" t="s">
        <v>47</v>
      </c>
      <c r="B5" s="60">
        <v>300</v>
      </c>
      <c r="C5" s="2" t="s">
        <v>32</v>
      </c>
      <c r="F5" s="48" t="s">
        <v>46</v>
      </c>
      <c r="G5" s="47"/>
      <c r="H5" s="47"/>
      <c r="I5" s="57">
        <v>157</v>
      </c>
      <c r="J5" s="1">
        <f>I5*2</f>
        <v>314</v>
      </c>
    </row>
    <row r="6" spans="1:18" ht="15" x14ac:dyDescent="0.25">
      <c r="A6" s="48" t="s">
        <v>45</v>
      </c>
      <c r="B6" s="60"/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15"/>
      <c r="O6" s="115"/>
      <c r="P6" s="83"/>
      <c r="Q6" s="115"/>
      <c r="R6" s="83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115"/>
      <c r="O7" s="115"/>
      <c r="P7" s="83"/>
      <c r="Q7" s="115"/>
      <c r="R7" s="83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115"/>
      <c r="O8" s="115"/>
      <c r="P8" s="83"/>
      <c r="Q8" s="115"/>
      <c r="R8" s="83"/>
    </row>
    <row r="9" spans="1:18" ht="13.5" thickBot="1" x14ac:dyDescent="0.25">
      <c r="B9" s="41"/>
      <c r="I9" s="41"/>
      <c r="N9" s="115"/>
      <c r="O9" s="115"/>
      <c r="P9" s="115"/>
      <c r="Q9" s="115"/>
      <c r="R9" s="83"/>
    </row>
    <row r="10" spans="1:18" ht="14.25" customHeight="1" x14ac:dyDescent="0.2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58.875</v>
      </c>
      <c r="N10" s="115"/>
      <c r="O10" s="115"/>
      <c r="P10" s="115"/>
      <c r="Q10" s="115"/>
      <c r="R10" s="115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88.3125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559.3125</v>
      </c>
    </row>
    <row r="13" spans="1:18" x14ac:dyDescent="0.2">
      <c r="A13" s="45" t="s">
        <v>34</v>
      </c>
      <c r="B13" s="44">
        <f>IF(SUM(B10:B11)=0,"",SUM(B5:B8)/SUM(B10:B11))</f>
        <v>18</v>
      </c>
    </row>
    <row r="14" spans="1:18" ht="13.5" thickBot="1" x14ac:dyDescent="0.25">
      <c r="A14" s="43" t="s">
        <v>33</v>
      </c>
      <c r="B14" s="42">
        <f>IF(B10=0,"",I12/B10)</f>
        <v>13.9828125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31.482812500000001</v>
      </c>
      <c r="F16" s="40" t="s">
        <v>30</v>
      </c>
      <c r="G16" s="39"/>
      <c r="H16" s="39"/>
      <c r="I16" s="38"/>
    </row>
    <row r="17" spans="1:17" ht="13.5" thickBot="1" x14ac:dyDescent="0.25">
      <c r="A17" s="37" t="s">
        <v>29</v>
      </c>
      <c r="B17" s="36">
        <f>VALUE(RIGHT(A8,3))+G18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7" x14ac:dyDescent="0.2">
      <c r="F18" s="32" t="s">
        <v>104</v>
      </c>
      <c r="G18" s="31"/>
      <c r="H18" s="31"/>
      <c r="I18" s="30">
        <v>0</v>
      </c>
      <c r="M18" s="116">
        <v>1</v>
      </c>
      <c r="N18" s="2" t="s">
        <v>24</v>
      </c>
      <c r="O18" s="2"/>
    </row>
    <row r="19" spans="1:17" ht="13.5" thickBot="1" x14ac:dyDescent="0.25">
      <c r="F19" s="26" t="s">
        <v>105</v>
      </c>
      <c r="G19" s="25"/>
      <c r="H19" s="25"/>
      <c r="I19" s="24">
        <v>0</v>
      </c>
    </row>
    <row r="20" spans="1:17" ht="13.5" thickBot="1" x14ac:dyDescent="0.25">
      <c r="A20" s="28" t="s">
        <v>23</v>
      </c>
      <c r="B20" s="27">
        <f>IF(ISERROR(CEILING(B16,1)+1),"",CEILING(B16,1)+1)</f>
        <v>33</v>
      </c>
      <c r="C20" s="2">
        <v>0</v>
      </c>
      <c r="F20" s="26" t="s">
        <v>106</v>
      </c>
      <c r="G20" s="25"/>
      <c r="H20" s="25"/>
      <c r="I20" s="24">
        <v>0</v>
      </c>
    </row>
    <row r="21" spans="1:17" ht="13.5" thickBot="1" x14ac:dyDescent="0.25">
      <c r="F21" s="26" t="s">
        <v>107</v>
      </c>
      <c r="G21" s="25"/>
      <c r="H21" s="25"/>
      <c r="I21" s="24">
        <v>0</v>
      </c>
    </row>
    <row r="22" spans="1:17" ht="13.5" thickBot="1" x14ac:dyDescent="0.25">
      <c r="F22" s="26"/>
      <c r="G22" s="25"/>
      <c r="H22" s="25"/>
      <c r="I22" s="24">
        <v>0</v>
      </c>
      <c r="N22" s="108"/>
      <c r="O22" s="107" t="s">
        <v>108</v>
      </c>
      <c r="P22" s="111">
        <v>33</v>
      </c>
    </row>
    <row r="23" spans="1:17" ht="13.5" thickBot="1" x14ac:dyDescent="0.25">
      <c r="A23" s="20" t="s">
        <v>0</v>
      </c>
      <c r="B23" s="19">
        <f>Calendar!A9</f>
        <v>43504</v>
      </c>
      <c r="F23" s="26"/>
      <c r="G23" s="25"/>
      <c r="H23" s="25"/>
      <c r="I23" s="24">
        <v>0</v>
      </c>
      <c r="P23" s="106"/>
    </row>
    <row r="24" spans="1:17" ht="20.25" customHeight="1" thickBot="1" x14ac:dyDescent="0.25">
      <c r="A24" s="20" t="s">
        <v>1</v>
      </c>
      <c r="B24" s="19">
        <f>IF(B23="","",B23+2)</f>
        <v>43506</v>
      </c>
      <c r="F24" s="26"/>
      <c r="G24" s="25"/>
      <c r="H24" s="25"/>
      <c r="I24" s="24">
        <v>0</v>
      </c>
      <c r="N24" s="117" t="s">
        <v>112</v>
      </c>
      <c r="O24" s="18" t="s">
        <v>109</v>
      </c>
      <c r="P24" s="109">
        <v>61</v>
      </c>
      <c r="Q24" s="112">
        <f>$P$22+P24</f>
        <v>94</v>
      </c>
    </row>
    <row r="25" spans="1:17" ht="20.25" customHeight="1" thickBot="1" x14ac:dyDescent="0.25">
      <c r="A25" s="20" t="s">
        <v>22</v>
      </c>
      <c r="B25" s="19">
        <f>IF(B23="","",B26-7)</f>
        <v>43457</v>
      </c>
      <c r="F25" s="23" t="s">
        <v>21</v>
      </c>
      <c r="G25" s="22">
        <f>SUM(G18:G24)</f>
        <v>0</v>
      </c>
      <c r="H25" s="22"/>
      <c r="I25" s="21">
        <v>0</v>
      </c>
      <c r="N25" s="118"/>
      <c r="O25" s="5" t="s">
        <v>110</v>
      </c>
      <c r="P25" s="111">
        <v>74</v>
      </c>
      <c r="Q25" s="114">
        <f t="shared" ref="Q25:Q26" si="0">$P$22+P25</f>
        <v>107</v>
      </c>
    </row>
    <row r="26" spans="1:17" ht="20.25" customHeight="1" thickBot="1" x14ac:dyDescent="0.25">
      <c r="A26" s="20" t="s">
        <v>20</v>
      </c>
      <c r="B26" s="19">
        <f>IF(B23="","",B23-40)</f>
        <v>43464</v>
      </c>
      <c r="N26" s="119"/>
      <c r="O26" s="11" t="s">
        <v>111</v>
      </c>
      <c r="P26" s="110">
        <v>100</v>
      </c>
      <c r="Q26" s="113">
        <f t="shared" si="0"/>
        <v>133</v>
      </c>
    </row>
    <row r="27" spans="1:17" ht="15.75" thickBot="1" x14ac:dyDescent="0.3">
      <c r="A27" s="20" t="s">
        <v>19</v>
      </c>
      <c r="B27" s="19">
        <f>IF(B23="","",B24-6)</f>
        <v>43500</v>
      </c>
      <c r="F27" s="6"/>
      <c r="G27" s="18"/>
      <c r="H27" s="17" t="s">
        <v>18</v>
      </c>
      <c r="I27" s="16">
        <f>SUM(B5:B8,I12)</f>
        <v>1459.3125</v>
      </c>
    </row>
    <row r="28" spans="1:17" ht="15.75" thickBot="1" x14ac:dyDescent="0.3">
      <c r="F28" s="6"/>
      <c r="G28" s="5"/>
      <c r="H28" s="15" t="s">
        <v>17</v>
      </c>
      <c r="I28" s="14">
        <f>IF(ISERROR((B10*B20)+(B11*20)),"",(B10*B20)+(B11*20))</f>
        <v>1520</v>
      </c>
      <c r="L28" s="13"/>
    </row>
    <row r="29" spans="1:17" ht="15.75" thickBot="1" x14ac:dyDescent="0.3">
      <c r="A29" s="12"/>
      <c r="F29" s="6"/>
      <c r="G29" s="11"/>
      <c r="H29" s="10" t="s">
        <v>16</v>
      </c>
      <c r="I29" s="9">
        <f>IF(ISERROR(I28-I27),"",I28-I27)</f>
        <v>60.6875</v>
      </c>
    </row>
    <row r="30" spans="1:17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2.6599999999999997</v>
      </c>
    </row>
  </sheetData>
  <mergeCells count="1">
    <mergeCell ref="N24:N26"/>
  </mergeCells>
  <conditionalFormatting sqref="I29">
    <cfRule type="cellIs" dxfId="9" priority="1" operator="lessThan">
      <formula>0</formula>
    </cfRule>
    <cfRule type="cellIs" dxfId="8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0"/>
  <sheetViews>
    <sheetView showGridLines="0" workbookViewId="0">
      <selection activeCell="G26" sqref="G26"/>
    </sheetView>
  </sheetViews>
  <sheetFormatPr defaultRowHeight="12.75" x14ac:dyDescent="0.2"/>
  <cols>
    <col min="1" max="1" width="31.140625" style="1" bestFit="1" customWidth="1"/>
    <col min="2" max="2" width="10.140625" style="1" bestFit="1" customWidth="1"/>
    <col min="3" max="3" width="3.28515625" style="2" customWidth="1"/>
    <col min="4" max="5" width="0" style="1" hidden="1" customWidth="1"/>
    <col min="6" max="6" width="37.42578125" style="1" bestFit="1" customWidth="1"/>
    <col min="7" max="7" width="6.28515625" style="1" customWidth="1"/>
    <col min="8" max="8" width="10" style="1" bestFit="1" customWidth="1"/>
    <col min="9" max="9" width="10.28515625" style="1" bestFit="1" customWidth="1"/>
    <col min="10" max="10" width="10.140625" style="1" hidden="1" customWidth="1"/>
    <col min="11" max="11" width="4.28515625" style="1" customWidth="1"/>
    <col min="12" max="16" width="9.140625" style="1"/>
    <col min="17" max="17" width="16" style="1" customWidth="1"/>
    <col min="18" max="18" width="10.42578125" style="1" customWidth="1"/>
    <col min="19" max="16384" width="9.140625" style="1"/>
  </cols>
  <sheetData>
    <row r="1" spans="1:18" ht="30.75" thickBot="1" x14ac:dyDescent="0.45">
      <c r="A1" s="72" t="str">
        <f>Calendar!C10</f>
        <v>Dead Horse Ranch - New Scout Camp</v>
      </c>
      <c r="B1" s="70"/>
      <c r="C1" s="71"/>
      <c r="D1" s="70"/>
      <c r="E1" s="70"/>
      <c r="F1" s="70"/>
      <c r="G1" s="70"/>
      <c r="H1" s="70"/>
      <c r="I1" s="69"/>
    </row>
    <row r="2" spans="1:18" ht="13.5" thickBot="1" x14ac:dyDescent="0.25"/>
    <row r="3" spans="1:18" ht="16.5" thickBot="1" x14ac:dyDescent="0.3">
      <c r="A3" s="68" t="s">
        <v>50</v>
      </c>
      <c r="B3" s="66"/>
      <c r="F3" s="68" t="s">
        <v>49</v>
      </c>
      <c r="G3" s="67"/>
      <c r="H3" s="67"/>
      <c r="I3" s="66"/>
    </row>
    <row r="4" spans="1:18" x14ac:dyDescent="0.2">
      <c r="A4" s="61"/>
      <c r="B4" s="65" t="s">
        <v>27</v>
      </c>
      <c r="F4" s="64" t="s">
        <v>48</v>
      </c>
      <c r="G4" s="63"/>
      <c r="H4" s="63"/>
      <c r="I4" s="62">
        <v>3</v>
      </c>
    </row>
    <row r="5" spans="1:18" ht="15.75" thickBot="1" x14ac:dyDescent="0.3">
      <c r="A5" s="61" t="s">
        <v>47</v>
      </c>
      <c r="B5" s="60">
        <v>550</v>
      </c>
      <c r="C5" s="2" t="s">
        <v>32</v>
      </c>
      <c r="F5" s="48" t="s">
        <v>46</v>
      </c>
      <c r="G5" s="47"/>
      <c r="H5" s="47"/>
      <c r="I5" s="57">
        <v>26</v>
      </c>
      <c r="J5" s="1">
        <f>I5*2</f>
        <v>52</v>
      </c>
    </row>
    <row r="6" spans="1:18" ht="15" x14ac:dyDescent="0.25">
      <c r="A6" s="48" t="s">
        <v>45</v>
      </c>
      <c r="B6" s="60"/>
      <c r="C6" s="2" t="s">
        <v>32</v>
      </c>
      <c r="F6" s="48" t="s">
        <v>44</v>
      </c>
      <c r="G6" s="47"/>
      <c r="H6" s="47"/>
      <c r="I6" s="59">
        <f>ROUNDUP(B10/5,0)</f>
        <v>8</v>
      </c>
      <c r="J6" s="1">
        <v>1</v>
      </c>
      <c r="N6" s="18"/>
      <c r="O6" s="73"/>
      <c r="P6" s="74"/>
      <c r="Q6" s="73"/>
      <c r="R6" s="75"/>
    </row>
    <row r="7" spans="1:18" ht="15" x14ac:dyDescent="0.25">
      <c r="A7" s="48" t="s">
        <v>51</v>
      </c>
      <c r="B7" s="58">
        <f>B10*VALUE(RIGHT(A7,2))</f>
        <v>400</v>
      </c>
      <c r="C7" s="2" t="s">
        <v>41</v>
      </c>
      <c r="F7" s="48" t="s">
        <v>43</v>
      </c>
      <c r="G7" s="47"/>
      <c r="H7" s="47"/>
      <c r="I7" s="57">
        <v>1</v>
      </c>
      <c r="J7" s="1">
        <v>1.5</v>
      </c>
      <c r="N7" s="76"/>
      <c r="O7" s="77"/>
      <c r="P7" s="78"/>
      <c r="Q7" s="77"/>
      <c r="R7" s="79"/>
    </row>
    <row r="8" spans="1:18" ht="15.75" thickBot="1" x14ac:dyDescent="0.3">
      <c r="A8" s="43" t="s">
        <v>42</v>
      </c>
      <c r="B8" s="56">
        <f>B11*VALUE(RIGHT(A8,2))</f>
        <v>200</v>
      </c>
      <c r="C8" s="2" t="s">
        <v>41</v>
      </c>
      <c r="F8" s="50" t="s">
        <v>40</v>
      </c>
      <c r="G8" s="55"/>
      <c r="H8" s="55"/>
      <c r="I8" s="54">
        <v>16</v>
      </c>
      <c r="N8" s="76"/>
      <c r="O8" s="77"/>
      <c r="P8" s="78"/>
      <c r="Q8" s="77"/>
      <c r="R8" s="79"/>
    </row>
    <row r="9" spans="1:18" ht="13.5" thickBot="1" x14ac:dyDescent="0.25">
      <c r="B9" s="41"/>
      <c r="I9" s="41"/>
      <c r="N9" s="76"/>
      <c r="O9" s="77"/>
      <c r="P9" s="77"/>
      <c r="Q9" s="77"/>
      <c r="R9" s="80"/>
    </row>
    <row r="10" spans="1:18" ht="14.25" customHeight="1" thickBot="1" x14ac:dyDescent="0.25">
      <c r="A10" s="53" t="s">
        <v>39</v>
      </c>
      <c r="B10" s="52">
        <v>40</v>
      </c>
      <c r="F10" s="45" t="s">
        <v>38</v>
      </c>
      <c r="G10" s="51"/>
      <c r="H10" s="51"/>
      <c r="I10" s="44">
        <f>(J5/I8)*I4</f>
        <v>9.75</v>
      </c>
      <c r="N10" s="11"/>
      <c r="O10" s="81"/>
      <c r="P10" s="81"/>
      <c r="Q10" s="81"/>
      <c r="R10" s="82"/>
    </row>
    <row r="11" spans="1:18" ht="14.25" customHeight="1" thickBot="1" x14ac:dyDescent="0.25">
      <c r="A11" s="50" t="s">
        <v>37</v>
      </c>
      <c r="B11" s="49">
        <v>10</v>
      </c>
      <c r="F11" s="48" t="s">
        <v>36</v>
      </c>
      <c r="G11" s="47"/>
      <c r="H11" s="47"/>
      <c r="I11" s="24">
        <f>I10*1.5</f>
        <v>14.625</v>
      </c>
    </row>
    <row r="12" spans="1:18" ht="13.5" thickBot="1" x14ac:dyDescent="0.25">
      <c r="B12" s="41"/>
      <c r="F12" s="23" t="s">
        <v>35</v>
      </c>
      <c r="G12" s="46"/>
      <c r="H12" s="46"/>
      <c r="I12" s="21">
        <f>(I6*J6*$I$10)+(I7*J7*$I$10)</f>
        <v>92.625</v>
      </c>
    </row>
    <row r="13" spans="1:18" x14ac:dyDescent="0.2">
      <c r="A13" s="45" t="s">
        <v>34</v>
      </c>
      <c r="B13" s="44">
        <f>IF(SUM(B10:B11)=0,"",SUM(B5:B8)/SUM(B10:B11))</f>
        <v>23</v>
      </c>
    </row>
    <row r="14" spans="1:18" ht="13.5" thickBot="1" x14ac:dyDescent="0.25">
      <c r="A14" s="43" t="s">
        <v>33</v>
      </c>
      <c r="B14" s="42">
        <f>IF(B10=0,"",I12/B10)</f>
        <v>2.3156249999999998</v>
      </c>
      <c r="C14" s="2" t="s">
        <v>32</v>
      </c>
    </row>
    <row r="15" spans="1:18" ht="13.5" thickBot="1" x14ac:dyDescent="0.25">
      <c r="B15" s="41"/>
    </row>
    <row r="16" spans="1:18" ht="16.5" thickBot="1" x14ac:dyDescent="0.3">
      <c r="A16" s="37" t="s">
        <v>31</v>
      </c>
      <c r="B16" s="36">
        <f>IF(B10=0,"",(B5+B7+I25+I12)/B10)</f>
        <v>26.065625000000001</v>
      </c>
      <c r="F16" s="40" t="s">
        <v>30</v>
      </c>
      <c r="G16" s="39"/>
      <c r="H16" s="39"/>
      <c r="I16" s="38"/>
    </row>
    <row r="17" spans="1:14" ht="13.5" thickBot="1" x14ac:dyDescent="0.25">
      <c r="A17" s="37" t="s">
        <v>29</v>
      </c>
      <c r="B17" s="36">
        <f>VALUE(RIGHT(A8,3))+G18</f>
        <v>20</v>
      </c>
      <c r="F17" s="35" t="s">
        <v>28</v>
      </c>
      <c r="G17" s="34" t="s">
        <v>27</v>
      </c>
      <c r="H17" s="34" t="s">
        <v>26</v>
      </c>
      <c r="I17" s="33" t="s">
        <v>25</v>
      </c>
    </row>
    <row r="18" spans="1:14" x14ac:dyDescent="0.2">
      <c r="F18" s="32"/>
      <c r="G18" s="31"/>
      <c r="H18" s="31"/>
      <c r="I18" s="30">
        <f>G18*H18</f>
        <v>0</v>
      </c>
      <c r="M18" s="29">
        <v>1</v>
      </c>
      <c r="N18" s="1" t="s">
        <v>24</v>
      </c>
    </row>
    <row r="19" spans="1:14" ht="13.5" thickBot="1" x14ac:dyDescent="0.25">
      <c r="F19" s="26"/>
      <c r="G19" s="25"/>
      <c r="H19" s="25"/>
      <c r="I19" s="24">
        <f t="shared" ref="I19:I24" si="0">H19*G19</f>
        <v>0</v>
      </c>
    </row>
    <row r="20" spans="1:14" ht="13.5" thickBot="1" x14ac:dyDescent="0.25">
      <c r="A20" s="28" t="s">
        <v>23</v>
      </c>
      <c r="B20" s="27">
        <f>IF(ISERROR(CEILING(B16,1)+1),"",CEILING(B16,1)+1)</f>
        <v>28</v>
      </c>
      <c r="C20" s="2">
        <v>0</v>
      </c>
      <c r="F20" s="26"/>
      <c r="G20" s="25"/>
      <c r="H20" s="25"/>
      <c r="I20" s="24">
        <f t="shared" si="0"/>
        <v>0</v>
      </c>
    </row>
    <row r="21" spans="1:14" x14ac:dyDescent="0.2">
      <c r="F21" s="26"/>
      <c r="G21" s="25"/>
      <c r="H21" s="25"/>
      <c r="I21" s="24">
        <f t="shared" si="0"/>
        <v>0</v>
      </c>
    </row>
    <row r="22" spans="1:14" x14ac:dyDescent="0.2">
      <c r="F22" s="26"/>
      <c r="G22" s="25"/>
      <c r="H22" s="25"/>
      <c r="I22" s="24">
        <f t="shared" si="0"/>
        <v>0</v>
      </c>
    </row>
    <row r="23" spans="1:14" x14ac:dyDescent="0.2">
      <c r="A23" s="20" t="s">
        <v>0</v>
      </c>
      <c r="B23" s="19">
        <f>Calendar!A10</f>
        <v>43532</v>
      </c>
      <c r="F23" s="26"/>
      <c r="G23" s="25"/>
      <c r="H23" s="25"/>
      <c r="I23" s="24">
        <f t="shared" si="0"/>
        <v>0</v>
      </c>
    </row>
    <row r="24" spans="1:14" x14ac:dyDescent="0.2">
      <c r="A24" s="20" t="s">
        <v>1</v>
      </c>
      <c r="B24" s="19">
        <f>IF(B23="","",B23+2)</f>
        <v>43534</v>
      </c>
      <c r="F24" s="26"/>
      <c r="G24" s="25"/>
      <c r="H24" s="25"/>
      <c r="I24" s="24">
        <f t="shared" si="0"/>
        <v>0</v>
      </c>
    </row>
    <row r="25" spans="1:14" ht="13.5" thickBot="1" x14ac:dyDescent="0.25">
      <c r="A25" s="20" t="s">
        <v>22</v>
      </c>
      <c r="B25" s="19">
        <f>IF(B23="","",B26-7)</f>
        <v>43485</v>
      </c>
      <c r="F25" s="23" t="s">
        <v>21</v>
      </c>
      <c r="G25" s="22">
        <f>SUM(G18:G24)</f>
        <v>0</v>
      </c>
      <c r="H25" s="22"/>
      <c r="I25" s="21">
        <f>SUM(I18:I24)*B10</f>
        <v>0</v>
      </c>
    </row>
    <row r="26" spans="1:14" ht="13.5" thickBot="1" x14ac:dyDescent="0.25">
      <c r="A26" s="20" t="s">
        <v>20</v>
      </c>
      <c r="B26" s="19">
        <f>IF(B23="","",B23-40)</f>
        <v>43492</v>
      </c>
    </row>
    <row r="27" spans="1:14" ht="15.75" thickBot="1" x14ac:dyDescent="0.3">
      <c r="A27" s="20" t="s">
        <v>19</v>
      </c>
      <c r="B27" s="19">
        <f>IF(B23="","",B24-6)</f>
        <v>43528</v>
      </c>
      <c r="F27" s="6"/>
      <c r="G27" s="18"/>
      <c r="H27" s="17" t="s">
        <v>18</v>
      </c>
      <c r="I27" s="16">
        <f>SUM(B5:B8,I12)</f>
        <v>1242.625</v>
      </c>
    </row>
    <row r="28" spans="1:14" ht="15.75" thickBot="1" x14ac:dyDescent="0.3">
      <c r="F28" s="6"/>
      <c r="G28" s="5"/>
      <c r="H28" s="15" t="s">
        <v>17</v>
      </c>
      <c r="I28" s="14">
        <f>IF(ISERROR((B10*B20)+(B11*20)),"",(B10*B20)+(B11*20))</f>
        <v>1320</v>
      </c>
      <c r="L28" s="13"/>
    </row>
    <row r="29" spans="1:14" ht="15.75" thickBot="1" x14ac:dyDescent="0.3">
      <c r="A29" s="12"/>
      <c r="F29" s="6"/>
      <c r="G29" s="11"/>
      <c r="H29" s="10" t="s">
        <v>16</v>
      </c>
      <c r="I29" s="9">
        <f>IF(ISERROR(I28-I27),"",I28-I27)</f>
        <v>77.375</v>
      </c>
    </row>
    <row r="30" spans="1:14" ht="13.5" thickBot="1" x14ac:dyDescent="0.25">
      <c r="A30" s="8"/>
      <c r="B30" s="7"/>
      <c r="F30" s="6"/>
      <c r="G30" s="5"/>
      <c r="H30" s="4" t="s">
        <v>15</v>
      </c>
      <c r="I30" s="3">
        <f>IF(ISERROR(ROUNDUP((B20*0.0275)+1.75,2)),"",ROUNDUP((B20*0.0275)+1.75,2))</f>
        <v>2.52</v>
      </c>
    </row>
  </sheetData>
  <conditionalFormatting sqref="I29">
    <cfRule type="cellIs" dxfId="7" priority="1" operator="lessThan">
      <formula>0</formula>
    </cfRule>
    <cfRule type="cellIs" dxfId="6" priority="2" operator="greaterThan">
      <formula>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Calendar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Apr!Print_Area</vt:lpstr>
      <vt:lpstr>Aug!Print_Area</vt:lpstr>
      <vt:lpstr>Calendar!Print_Area</vt:lpstr>
      <vt:lpstr>Dec!Print_Area</vt:lpstr>
      <vt:lpstr>Feb!Print_Area</vt:lpstr>
      <vt:lpstr>Jan!Print_Area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Hancock, Terry (Consumer Foods)</dc:creator>
  <cp:lastModifiedBy>Hancock, Terry (Consumer Foods)</cp:lastModifiedBy>
  <cp:lastPrinted>2019-02-20T21:01:57Z</cp:lastPrinted>
  <dcterms:created xsi:type="dcterms:W3CDTF">2018-05-17T03:39:11Z</dcterms:created>
  <dcterms:modified xsi:type="dcterms:W3CDTF">2019-02-20T21:08:37Z</dcterms:modified>
</cp:coreProperties>
</file>